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sheetId="1" r:id="rId5"/>
    <sheet state="visible" name="Sheet1" sheetId="2" r:id="rId6"/>
    <sheet state="visible" name="1-25" sheetId="3" r:id="rId7"/>
    <sheet state="visible" name="26-50" sheetId="4" r:id="rId8"/>
    <sheet state="visible" name="51-75" sheetId="5" r:id="rId9"/>
    <sheet state="visible" name="76-100" sheetId="6" r:id="rId10"/>
    <sheet state="visible" name="101-108" sheetId="7" r:id="rId11"/>
    <sheet state="visible" name="Re Evaluation" sheetId="8" r:id="rId12"/>
    <sheet state="visible" name="compare" sheetId="9" r:id="rId13"/>
    <sheet state="visible" name="All Applications" sheetId="10" r:id="rId14"/>
    <sheet state="visible" name="Alumni" sheetId="11" r:id="rId15"/>
    <sheet state="visible" name="Partial" sheetId="12" r:id="rId16"/>
    <sheet state="visible" name="Full" sheetId="13" r:id="rId17"/>
    <sheet state="visible" name="Self" sheetId="14" r:id="rId18"/>
    <sheet state="visible" name="Sorted Applications" sheetId="15" r:id="rId19"/>
  </sheets>
  <definedNames>
    <definedName hidden="1" localSheetId="0" name="_xlnm._FilterDatabase">Evaluation!$B$1:$J$124</definedName>
  </definedNames>
  <calcPr/>
</workbook>
</file>

<file path=xl/sharedStrings.xml><?xml version="1.0" encoding="utf-8"?>
<sst xmlns="http://schemas.openxmlformats.org/spreadsheetml/2006/main" count="16638" uniqueCount="4994">
  <si>
    <t>https://my.aidaform.com/form/3a5cmgm00x8/response/9fdd928c-3071-46ef-b322-65ef02df8fbc</t>
  </si>
  <si>
    <t>Self</t>
  </si>
  <si>
    <t>Mohd Rayyan Ansari</t>
  </si>
  <si>
    <t>rayyanmohdansari@gmail.com</t>
  </si>
  <si>
    <t>YPDS-JKT-26-F11</t>
  </si>
  <si>
    <t>1f57e0f8-5c89-4640-a10f-7b2a468498c9.webm (13.05 MB)</t>
  </si>
  <si>
    <t>yes</t>
  </si>
  <si>
    <t>EMAIL_CONFIRMED</t>
  </si>
  <si>
    <t>https://my.aidaform.com/form/3a5cmgm00x8/response/552fdaa7-e6a8-4bf5-b9c4-7a70f5307e47</t>
  </si>
  <si>
    <t>Alumni</t>
  </si>
  <si>
    <t>Sqlma Ouhriz</t>
  </si>
  <si>
    <t>salmaouhriz@gmail.com</t>
  </si>
  <si>
    <t>YPDS-JKT-26-F12</t>
  </si>
  <si>
    <t>f1ecf6b2-1b05-4e05-a3c5-7375584ce40b.mov (9.07 MB)</t>
  </si>
  <si>
    <t>FUZZY_APPROVED</t>
  </si>
  <si>
    <t>https://my.aidaform.com/form/3a5cmgm00x8/response/731d62b9-00a1-4a77-83ae-fbfc7e46d299</t>
  </si>
  <si>
    <t>junior grace kevine doumbou de barro</t>
  </si>
  <si>
    <t>juniorbarro8@gmail.com</t>
  </si>
  <si>
    <t>YPDS-JKT-26-F13</t>
  </si>
  <si>
    <t>270fa14d-6781-42fe-97a0-089feb668e99.mov (25.67 MB)</t>
  </si>
  <si>
    <t>https://my.aidaform.com/form/3a5cmgm00x8/response/2c5b858b-343b-4df2-ac2e-a3038d4fbe92</t>
  </si>
  <si>
    <t>Aisha Kanwal</t>
  </si>
  <si>
    <t>EXACT</t>
  </si>
  <si>
    <t>https://my.aidaform.com/form/3a5cmgm00x8/response/6e37249a-5492-4332-a287-7b88c505c707</t>
  </si>
  <si>
    <t>Partial</t>
  </si>
  <si>
    <t>Patricia Doe Arthur-Jim</t>
  </si>
  <si>
    <t>https://my.aidaform.com/form/3a5cmgm00x8/response/851f8968-f8e4-4284-9aae-b1204473c2bb</t>
  </si>
  <si>
    <t>Full/Partial</t>
  </si>
  <si>
    <t>Need to double check</t>
  </si>
  <si>
    <t xml:space="preserve">Alumni award, </t>
  </si>
  <si>
    <t>Nan Mao</t>
  </si>
  <si>
    <t>https://my.aidaform.com/form/3a5cmgm00x8/response/65501328-3509-4d3d-bdf2-037cb26280b0</t>
  </si>
  <si>
    <t>Need check</t>
  </si>
  <si>
    <t>Radia CHAOUI ABOU HAJJAJ</t>
  </si>
  <si>
    <t>https://my.aidaform.com/form/3a5cmgm00x8/response/ba18d545-6bfb-42be-ac59-dd4094c1750a</t>
  </si>
  <si>
    <t>NIZAR AKIL</t>
  </si>
  <si>
    <t>https://my.aidaform.com/form/3a5cmgm00x8/response/3d5bbd64-14d3-474f-aed0-e7d6fb9fa449</t>
  </si>
  <si>
    <t>Isatou Joof</t>
  </si>
  <si>
    <t>https://my.aidaform.com/form/3a5cmgm00x8/response/8738e1c2-a291-46ed-a28e-fd677013505a</t>
  </si>
  <si>
    <t>Full</t>
  </si>
  <si>
    <t xml:space="preserve">Need to check, </t>
  </si>
  <si>
    <t>Confirmed</t>
  </si>
  <si>
    <t>fereshteh.rahimi@ut.ac.ir</t>
  </si>
  <si>
    <t>EMAIL_ONLY_MATCH</t>
  </si>
  <si>
    <t>https://my.aidaform.com/form/3a5cmgm00x8/response/a5e09064-1380-43ed-a3ad-7fe33ff8b704</t>
  </si>
  <si>
    <t>Syed Sharjeel Ahmed</t>
  </si>
  <si>
    <t>https://my.aidaform.com/form/3a5cmgm00x8/response/16c9f03b-bc8c-4bcc-93d2-366489b9fa92</t>
  </si>
  <si>
    <t>Şevval Alptekin</t>
  </si>
  <si>
    <t>https://my.aidaform.com/form/3a5cmgm00x8/response/6cd38b0f-a836-4f64-ad1e-894a62ffdc9b</t>
  </si>
  <si>
    <t>Ha Nguyen Thi Lam</t>
  </si>
  <si>
    <t>https://my.aidaform.com/form/3a5cmgm00x8/response/9d22b5ed-08fe-4af6-a31e-cf34d75763d8</t>
  </si>
  <si>
    <t>Mohamed Salah Mohamed Abd El Aziz</t>
  </si>
  <si>
    <t>muhumed.salah00@outlook.com</t>
  </si>
  <si>
    <t>YPDS-JKT-F34</t>
  </si>
  <si>
    <t>808490b1-82e9-42a6-bdc2-cf735876f996.webm (6.86 MB)</t>
  </si>
  <si>
    <t>https://my.aidaform.com/form/3a5cmgm00x8/response/f1169621-f979-46ea-83df-6e5a02ddcf28</t>
  </si>
  <si>
    <t>self</t>
  </si>
  <si>
    <t>Devindrappa Devindrappa</t>
  </si>
  <si>
    <t>https://my.aidaform.com/form/3a5cmgm00x8/response/feef56a4-4422-4e74-8914-be83cae02200</t>
  </si>
  <si>
    <t>He is in indonesia</t>
  </si>
  <si>
    <t>Johnlenon Aliser</t>
  </si>
  <si>
    <t>https://my.aidaform.com/form/3a5cmgm00x8/response/2e7fa182-eeeb-4102-a92e-f13a5558a0a6</t>
  </si>
  <si>
    <t>But she is Indonesia</t>
  </si>
  <si>
    <t>Ayuanda Sekar Melati</t>
  </si>
  <si>
    <t>https://my.aidaform.com/form/3a5cmgm00x8/response/ab731e70-b253-44e4-8c18-cc07d46a9e76</t>
  </si>
  <si>
    <t>Tafadzwa Mufamba</t>
  </si>
  <si>
    <t>https://my.aidaform.com/form/3a5cmgm00x8/response/fefb6fe0-3339-438b-a8c5-80f81b9e1ae0</t>
  </si>
  <si>
    <t>Tanvir Hossain</t>
  </si>
  <si>
    <t>https://my.aidaform.com/form/3a5cmgm00x8/response/87a7b6d2-8946-4996-9e40-c2c30058d390</t>
  </si>
  <si>
    <t>partial</t>
  </si>
  <si>
    <t>Aigerim Sarsembayeva</t>
  </si>
  <si>
    <t>s.aichka.kz@gmail.com</t>
  </si>
  <si>
    <t>YPDS-JKT-26-F49</t>
  </si>
  <si>
    <t>b4c46d3f-4b7d-4aa3-b216-5a8ddefcc550.webm (15.05 MB)</t>
  </si>
  <si>
    <t>https://my.aidaform.com/form/3a5cmgm00x8/response/d2449818-e5c5-4726-a232-7025145096c9</t>
  </si>
  <si>
    <t>subert.szabolcs@gmail.com</t>
  </si>
  <si>
    <t>https://my.aidaform.com/form/3a5cmgm00x8/response/4daa6675-3517-4fd3-8850-4d52ee899b31</t>
  </si>
  <si>
    <t>Shahram Gharib</t>
  </si>
  <si>
    <t>https://my.aidaform.com/form/3a5cmgm00x8/response/13e0f485-9566-4d9b-a0bc-03a01946bff2</t>
  </si>
  <si>
    <t>ashbelleradia@gmail.com</t>
  </si>
  <si>
    <t>https://my.aidaform.com/form/3a5cmgm00x8/response/ddd3b18a-7762-41c2-8fed-59d6f65dbc5a</t>
  </si>
  <si>
    <t>Binyameen Wahid</t>
  </si>
  <si>
    <t>https://my.aidaform.com/form/3a5cmgm00x8/response/6535bd4d-7dfd-401a-85d6-0271d265ad97</t>
  </si>
  <si>
    <t>Vartika Joshi</t>
  </si>
  <si>
    <t>https://my.aidaform.com/form/3a5cmgm00x8/response/10aca9b4-6313-4950-a186-dead2cab6b93</t>
  </si>
  <si>
    <t>Full/partial</t>
  </si>
  <si>
    <t>Seniour professor in physics.</t>
  </si>
  <si>
    <t>Aras Alshikhane</t>
  </si>
  <si>
    <t>https://my.aidaform.com/form/3a5cmgm00x8/response/257f55c1-7071-4c8f-acdf-4f1e7e99668b</t>
  </si>
  <si>
    <t>Adeeba Aslam</t>
  </si>
  <si>
    <t>https://my.aidaform.com/form/3a5cmgm00x8/response/16400b1a-6aa2-4f34-b263-aa33a8dee5bb</t>
  </si>
  <si>
    <t>Rana  Ali</t>
  </si>
  <si>
    <t>https://my.aidaform.com/form/3a5cmgm00x8/response/58201bcf-5be9-4aae-aec7-5f8f01bc814c</t>
  </si>
  <si>
    <t>Hussam  Alshamasi</t>
  </si>
  <si>
    <t>MANUAL_USER_CONFIRMED</t>
  </si>
  <si>
    <t>https://my.aidaform.com/form/3a5cmgm00x8/response/e9318082-e350-4e22-8219-d0a40ca28270</t>
  </si>
  <si>
    <t>Filmmaker</t>
  </si>
  <si>
    <t>Victoria Erhahon</t>
  </si>
  <si>
    <t>https://my.aidaform.com/form/3a5cmgm00x8/response/c736ad38-1fb2-4464-9aa6-3031b8aae46e</t>
  </si>
  <si>
    <t>MISIKIR MELKAMU ANTENEH</t>
  </si>
  <si>
    <t>https://my.aidaform.com/form/3a5cmgm00x8/response/e9f0d19d-e94a-4a22-8935-a5651cda4bc8</t>
  </si>
  <si>
    <t>Aly Savane</t>
  </si>
  <si>
    <t>https://my.aidaform.com/form/3a5cmgm00x8/response/e5257c27-4221-408d-a2b0-10ba495881a6</t>
  </si>
  <si>
    <t>fahmiaprithi@gmail.com</t>
  </si>
  <si>
    <t>https://my.aidaform.com/form/3a5cmgm00x8/response/21357e8e-3b08-45d1-b1dc-e9ddbab277ed</t>
  </si>
  <si>
    <t>Roza Karimboyeva</t>
  </si>
  <si>
    <t>karimboyevaroza1@gmail.com</t>
  </si>
  <si>
    <t>ypdscscd66</t>
  </si>
  <si>
    <t>c88fa8a5-f043-4f91-a46c-a5ac88876318.mov (24.62 MB)</t>
  </si>
  <si>
    <t>https://my.aidaform.com/form/3a5cmgm00x8/response/01e245cf-6e2c-49e0-9d69-27964d76fe71</t>
  </si>
  <si>
    <t>Sef</t>
  </si>
  <si>
    <t>Dieudonne  ILBOUDO</t>
  </si>
  <si>
    <t>https://my.aidaform.com/form/3a5cmgm00x8/response/08b225f1-92c5-4126-95d9-13b77dc5bef5</t>
  </si>
  <si>
    <t>Need to check evaluation</t>
  </si>
  <si>
    <t>tufailshah675@gmail.com</t>
  </si>
  <si>
    <t>https://my.aidaform.com/form/3a5cmgm00x8/response/eb95ff47-701e-4331-a652-1b4a8679cd46</t>
  </si>
  <si>
    <t>Aisha Azam</t>
  </si>
  <si>
    <t>https://my.aidaform.com/form/3a5cmgm00x8/response/12970ddd-7569-4717-871c-d34d81bc33f7</t>
  </si>
  <si>
    <t>Sanzhar Karybayev</t>
  </si>
  <si>
    <t>sanzhar0770@gmail.com</t>
  </si>
  <si>
    <t>ypdscscd72</t>
  </si>
  <si>
    <t>3c0f40e9-df1d-4fb0-93e9-41d0ae854370.mov (14.82 MB)</t>
  </si>
  <si>
    <t>https://my.aidaform.com/form/3a5cmgm00x8/response/0bfc92c0-e815-4cde-98ad-2656788b3b47</t>
  </si>
  <si>
    <t>karybayevak@gmail.com</t>
  </si>
  <si>
    <t>https://my.aidaform.com/form/3a5cmgm00x8/response/abaf155d-0b17-4df7-b5d4-06f01bf211f5</t>
  </si>
  <si>
    <t>Afghani</t>
  </si>
  <si>
    <t>Maryam Mirzaee</t>
  </si>
  <si>
    <t>https://my.aidaform.com/form/3a5cmgm00x8/response/ea3505fd-763f-4435-aca2-9ee86a2d5504</t>
  </si>
  <si>
    <t>Weldemariyam  Simret Yaynu</t>
  </si>
  <si>
    <t>https://my.aidaform.com/form/3a5cmgm00x8/response/418e21a2-120d-4192-8061-899ac1e44198</t>
  </si>
  <si>
    <t>Indonesian</t>
  </si>
  <si>
    <t>Raden Levia Asriana</t>
  </si>
  <si>
    <t>https://my.aidaform.com/form/3a5cmgm00x8/response/a321bda3-b27c-4b98-a2d4-6f631bdd32ce</t>
  </si>
  <si>
    <t>Muqaddas Jurakulova</t>
  </si>
  <si>
    <t>https://my.aidaform.com/form/3a5cmgm00x8/response/ec0d84b4-a486-4548-852c-0e3bdbd0dc42</t>
  </si>
  <si>
    <t>Menna Rabie</t>
  </si>
  <si>
    <t>https://my.aidaform.com/form/3a5cmgm00x8/response/dfcce33f-35c7-4c16-a940-e3e59f641b8e</t>
  </si>
  <si>
    <t>Partial/Full</t>
  </si>
  <si>
    <t>Need to check, she is sober, but not experienced</t>
  </si>
  <si>
    <t>Asherrizah Merlyen Celindro</t>
  </si>
  <si>
    <t>https://my.aidaform.com/form/3a5cmgm00x8/response/e909316b-b371-4a96-ac3d-762f1002a1b9</t>
  </si>
  <si>
    <t>Abdulbosit Alijonov</t>
  </si>
  <si>
    <t>alijonovabdulbosit10@gmail.com</t>
  </si>
  <si>
    <t>YPDS-JKT-F84</t>
  </si>
  <si>
    <t>56827d77-9fd3-4aa9-816b-417fe76a1fd1.webm (9.66 MB)</t>
  </si>
  <si>
    <t>https://my.aidaform.com/form/3a5cmgm00x8/response/06f4953d-b324-4a55-abd9-d3932c5bd1ca</t>
  </si>
  <si>
    <t>Phouangphan Latphakdy</t>
  </si>
  <si>
    <t>phouangphanlpd@gmail.com</t>
  </si>
  <si>
    <t>77dacda6-0340-4c99-98a5-03f9b3baae5d.webm (13.81 MB)</t>
  </si>
  <si>
    <t>https://my.aidaform.com/form/3a5cmgm00x8/response/bc1f62e1-aaab-4183-934a-0c937817c84c</t>
  </si>
  <si>
    <t>Sanaullah  Baburi</t>
  </si>
  <si>
    <t>https://my.aidaform.com/form/3a5cmgm00x8/response/3fc5abef-71ea-4db0-82ab-3730f1d47c15</t>
  </si>
  <si>
    <t>Umar Lawan Muhammad</t>
  </si>
  <si>
    <t>https://my.aidaform.com/form/3a5cmgm00x8/response/342a5464-cbd9-44ef-90f3-36bc9a512674</t>
  </si>
  <si>
    <t>zakaria41@iut-dhaka.edu</t>
  </si>
  <si>
    <t>https://my.aidaform.com/form/3a5cmgm00x8/response/b9b772d6-e0db-47a0-969b-8d91fd2c6b96</t>
  </si>
  <si>
    <t>Good communication, person of colour</t>
  </si>
  <si>
    <t>Noluthando Sikhakhane</t>
  </si>
  <si>
    <t>https://my.aidaform.com/form/3a5cmgm00x8/response/85e4c9f9-40c8-4e2b-ac5e-37fbf9a8b464</t>
  </si>
  <si>
    <t>ROBIYABEGIM  MEKHRILLAEVA</t>
  </si>
  <si>
    <t>https://my.aidaform.com/form/3a5cmgm00x8/response/e0ac0b58-2868-4b02-989c-5e25f7cb1d00</t>
  </si>
  <si>
    <t>Roy Lasjordien</t>
  </si>
  <si>
    <t>EMAIL_LOCALPART_MATCH</t>
  </si>
  <si>
    <t>https://my.aidaform.com/form/3a5cmgm00x8/response/dc19cb1a-23fe-4278-b4ec-b5ed4f221a1b</t>
  </si>
  <si>
    <t>asliddinwb04@gmail.com</t>
  </si>
  <si>
    <t>https://my.aidaform.com/form/3a5cmgm00x8/response/d02a5382-7a4c-48ad-8ca5-288e4cd01d4e</t>
  </si>
  <si>
    <t>Jad Sandakli</t>
  </si>
  <si>
    <t>https://my.aidaform.com/form/3a5cmgm00x8/response/c3318535-a108-4715-8b45-bdd147bc3b0d</t>
  </si>
  <si>
    <t>Shakhodat Yuldosheva</t>
  </si>
  <si>
    <t>https://my.aidaform.com/form/3a5cmgm00x8/response/8ee3cef9-d5e1-4d69-b65d-5640bd2be1a6</t>
  </si>
  <si>
    <t>He is professional of 15 years, but no charisma,</t>
  </si>
  <si>
    <t>Parviz Sami</t>
  </si>
  <si>
    <t>https://my.aidaform.com/form/3a5cmgm00x8/response/ea085cb5-fc50-49e8-b93d-d09e69b73640</t>
  </si>
  <si>
    <t>Shehzeen Bakhsh Malik</t>
  </si>
  <si>
    <t>https://my.aidaform.com/form/3a5cmgm00x8/response/188f3974-24a1-47f0-a14f-7541bd4a5b94</t>
  </si>
  <si>
    <t>shehzeen.bakhsh@gmail.com</t>
  </si>
  <si>
    <t>https://my.aidaform.com/form/3a5cmgm00x8/response/d382e788-7726-4cff-b46b-f2ea974ae64e</t>
  </si>
  <si>
    <t>He is in Japan I think, but  needed to check again</t>
  </si>
  <si>
    <t>Saw Ehdo Htoo</t>
  </si>
  <si>
    <t>https://my.aidaform.com/form/3a5cmgm00x8/response/b3314908-1bff-4de8-93f7-de468f7280b9</t>
  </si>
  <si>
    <t>Tala Abuzaid</t>
  </si>
  <si>
    <t>abuzaidtala2006@gmail.com</t>
  </si>
  <si>
    <t>YPDS-JKT-26-F106</t>
  </si>
  <si>
    <t>6a251c13-167c-484e-819c-6e197aaebf66.mov (12.86 MB)</t>
  </si>
  <si>
    <t>https://my.aidaform.com/form/3a5cmgm00x8/response/0228aa36-5e17-4375-944a-aebe234b23ba</t>
  </si>
  <si>
    <t>Askat Abdumitalipov</t>
  </si>
  <si>
    <t>https://my.aidaform.com/form/3a5cmgm00x8/response/3cb71feb-da79-496b-98ea-067d483e2903</t>
  </si>
  <si>
    <t>Yemane Welay</t>
  </si>
  <si>
    <t>https://my.aidaform.com/form/3a5cmgm00x8/response/b2359713-bf1e-4ade-b79a-b2129e335056</t>
  </si>
  <si>
    <t>Pakistani</t>
  </si>
  <si>
    <t>Muhammad Saleh</t>
  </si>
  <si>
    <t>https://my.aidaform.com/form/3a5cmgm00x8/response/c7a9e5d1-812d-4a1c-8821-b26185361e9c</t>
  </si>
  <si>
    <t>Yasmina  Zhumagulova</t>
  </si>
  <si>
    <t>https://my.aidaform.com/form/3a5cmgm00x8/response/76923de5-3bac-44af-a492-b047bf8030cd</t>
  </si>
  <si>
    <t>Need to check</t>
  </si>
  <si>
    <t>Mariia Lemza</t>
  </si>
  <si>
    <t>mashalemza23@gmail.com</t>
  </si>
  <si>
    <t>YPDS-JKT-26-F115</t>
  </si>
  <si>
    <t>d39b639f-44e6-43e2-8f5c-362587a3df96.webm (14.91 MB)</t>
  </si>
  <si>
    <t>https://my.aidaform.com/form/3a5cmgm00x8/response/66e2c6dc-4061-4fa7-900a-23479a9ef7df</t>
  </si>
  <si>
    <t>MAHMOUD AYYASH</t>
  </si>
  <si>
    <t>https://my.aidaform.com/form/3a5cmgm00x8/response/633343dc-cdff-42b8-9b4e-1726260ff6cd</t>
  </si>
  <si>
    <t>Her ideas are good, but Algiers will be far for her</t>
  </si>
  <si>
    <t>Chadha Errahmane BOUSSAHIA</t>
  </si>
  <si>
    <t>boussahiachadhaerrahmane@gmail.com</t>
  </si>
  <si>
    <t xml:space="preserve"> YPDS-JKT-26-F119</t>
  </si>
  <si>
    <t>4e256bb4-cd22-4197-88f2-abcdcf5fda76.mov (12.71 MB)</t>
  </si>
  <si>
    <t>https://my.aidaform.com/form/3a5cmgm00x8/response/16dc546e-5428-49de-9f0f-67dc41c16f3a</t>
  </si>
  <si>
    <t>Mawloda Hassas</t>
  </si>
  <si>
    <t>https://my.aidaform.com/form/3a5cmgm00x8/response/70711d03-5afa-453a-b0b3-e41297c522d2</t>
  </si>
  <si>
    <t>Muhammad  Areeb</t>
  </si>
  <si>
    <t>https://my.aidaform.com/form/3a5cmgm00x8/response/9340241a-47f7-4173-9849-cad87e9964dd</t>
  </si>
  <si>
    <t>niddal87@gmail.com</t>
  </si>
  <si>
    <t>https://my.aidaform.com/form/3a5cmgm00x8/response/e9620fb4-44c5-49ce-ae35-d005bf3ea7bb</t>
  </si>
  <si>
    <t>Yazan Yılmaz</t>
  </si>
  <si>
    <t>https://my.aidaform.com/form/3a5cmgm00x8/response/34a9f76a-0399-478e-acd1-54874f8bddc8</t>
  </si>
  <si>
    <t>MAHMOUD NOUREDDIN  ASLAN</t>
  </si>
  <si>
    <t>https://my.aidaform.com/form/3a5cmgm00x8/response/070ee318-98be-4d0a-a22d-8364fd81212d</t>
  </si>
  <si>
    <t>SHAFEI  MAHMOUD</t>
  </si>
  <si>
    <t>https://my.aidaform.com/form/3a5cmgm00x8/response/6dc6bddb-45f7-4d1a-966c-0793744813c5</t>
  </si>
  <si>
    <t>Almost, need to check flight</t>
  </si>
  <si>
    <t>Mats Borgen</t>
  </si>
  <si>
    <t>https://my.aidaform.com/form/3a5cmgm00x8/response/898ecbfd-f08c-4cc4-a0fc-eb4084d83dd9</t>
  </si>
  <si>
    <t>For effort</t>
  </si>
  <si>
    <t>Sami S S  Khalaf</t>
  </si>
  <si>
    <t>https://my.aidaform.com/form/3a5cmgm00x8/response/5910a748-9218-4b2f-b0da-44046effd3fa</t>
  </si>
  <si>
    <t>Trang Thach</t>
  </si>
  <si>
    <t>thachhatrang188@gmail.com</t>
  </si>
  <si>
    <t>YPDS-JKT-26-F134</t>
  </si>
  <si>
    <t>4a94af91-37ff-4590-b5bd-fea10fe0ee03.webm (14.3 MB)</t>
  </si>
  <si>
    <t>FUZZY_APPROVED_FULLNAME</t>
  </si>
  <si>
    <t>https://my.aidaform.com/form/3a5cmgm00x8/response/b00b495d-a2b1-46ed-bdc0-ac6053837b9e</t>
  </si>
  <si>
    <t>Only if we need diversity and nearby flight</t>
  </si>
  <si>
    <t>Azizbek  AKBAROV</t>
  </si>
  <si>
    <t>https://my.aidaform.com/form/3a5cmgm00x8/response/e25e1179-706b-4487-9b06-93d7ed91ce0b</t>
  </si>
  <si>
    <t>ABOUOBAIDA Zaher Mahmoud Mohamed Elborolosy</t>
  </si>
  <si>
    <t>https://my.aidaform.com/form/3a5cmgm00x8/response/8cd162ce-f80d-482c-abd3-d83c121f358e</t>
  </si>
  <si>
    <t>FATIMA ZOHRA  AHLALOUM</t>
  </si>
  <si>
    <t>fatimazahraeahlaloum@gmail.com</t>
  </si>
  <si>
    <t>YPDS-JKT-26-F138</t>
  </si>
  <si>
    <t>a6a231d6-5b39-4b51-9265-b3d909bb00f6.mov (8.37 MB)</t>
  </si>
  <si>
    <t>DUP_RESOLVED_UNANIMOUS</t>
  </si>
  <si>
    <t>https://my.aidaform.com/form/3a5cmgm00x8/response/24862787-d559-4182-91d0-67851148de44</t>
  </si>
  <si>
    <t>9903c1ee-46cc-4422-8f0e-61d8833924d0.mov (9.38 MB)</t>
  </si>
  <si>
    <t>https://my.aidaform.com/form/3a5cmgm00x8/response/eb290178-6901-4784-abba-07a63cdce82c</t>
  </si>
  <si>
    <t>0b0d2f8f-c464-4d92-9d10-7d5df5bf8b07.mov (7.36 MB)</t>
  </si>
  <si>
    <t>https://my.aidaform.com/form/3a5cmgm00x8/response/8551fc9f-e4a4-4a41-9c4d-ad8b1cdd0b72</t>
  </si>
  <si>
    <t>Veranika Anisimava</t>
  </si>
  <si>
    <t>https://my.aidaform.com/form/3a5cmgm00x8/response/af41bce0-3a7d-4891-9532-884a199e06d1</t>
  </si>
  <si>
    <t>Mihaela-Alexandra Istim</t>
  </si>
  <si>
    <t>https://my.aidaform.com/form/3a5cmgm00x8/response/bcdb0962-931d-4d3f-8bec-e8c47bc38533</t>
  </si>
  <si>
    <t>Amir Gafur</t>
  </si>
  <si>
    <t>amirhamzah1810@gmail.com</t>
  </si>
  <si>
    <t>1eeeb1fb-a805-4b2c-91db-67cf0589858e.mp4 (215.35 MB)</t>
  </si>
  <si>
    <t>https://my.aidaform.com/form/3a5cmgm00x8/response/0ecddca0-eb7f-406e-8521-6bec6f474628</t>
  </si>
  <si>
    <t>XUE LI</t>
  </si>
  <si>
    <t>18809880669@163.com</t>
  </si>
  <si>
    <t>YPDS-JKT-F143</t>
  </si>
  <si>
    <t>d910e9b0-16da-4d4f-9516-185f41a94e36.mp4 (205.86 MB)</t>
  </si>
  <si>
    <t>https://my.aidaform.com/form/3a5cmgm00x8/response/c519be7e-43e9-47e6-be4b-3fa83b897c2b</t>
  </si>
  <si>
    <t>Thaksin XAYALATH</t>
  </si>
  <si>
    <t>jojoths92@gmail.com</t>
  </si>
  <si>
    <t>c852b859-d55a-4159-ad85-4ef2fd70b063.webm (13.74 MB)</t>
  </si>
  <si>
    <t>https://my.aidaform.com/form/3a5cmgm00x8/response/be439bef-5c4a-462d-abf4-ef0294f42ae4</t>
  </si>
  <si>
    <t>Shokhrukh  Eshnazarov</t>
  </si>
  <si>
    <t>shokhrukhhotelier@gmail.com</t>
  </si>
  <si>
    <t>ypdscscd147</t>
  </si>
  <si>
    <t>5c3e4e9a-9b63-45f9-af9b-4738089a34b9.mov (21.91 MB)</t>
  </si>
  <si>
    <t>https://my.aidaform.com/form/3a5cmgm00x8/response/0bc99b0a-c4be-4242-8e0d-3697fd4773e8</t>
  </si>
  <si>
    <t>Civil Servant Pakistan</t>
  </si>
  <si>
    <t>sadafzaman69@yahoo.com</t>
  </si>
  <si>
    <t>https://my.aidaform.com/form/3a5cmgm00x8/response/3f471f2a-b002-4102-9b6c-7f287d192a99</t>
  </si>
  <si>
    <t>Accent problem, neet to check profile</t>
  </si>
  <si>
    <t>Sanam Zafar</t>
  </si>
  <si>
    <t>sanamzafar01@gmail.com</t>
  </si>
  <si>
    <t>9b8d9982-da48-4d0a-bc98-98e3b2d40a60.webm (14.91 MB)</t>
  </si>
  <si>
    <t>https://my.aidaform.com/form/3a5cmgm00x8/response/6c52ec0c-c038-427d-906d-9fffd5533655</t>
  </si>
  <si>
    <t>theint.insightful@gmail.com</t>
  </si>
  <si>
    <t>https://my.aidaform.com/form/3a5cmgm00x8/response/2b991af1-b4dd-4b54-94f5-c696efc4b0cf</t>
  </si>
  <si>
    <t>Lizan Mohammed</t>
  </si>
  <si>
    <t>https://my.aidaform.com/form/3a5cmgm00x8/response/95e13aec-90d0-41b0-840a-bdc3ca6fe176</t>
  </si>
  <si>
    <t>Russian, precise. Need to check</t>
  </si>
  <si>
    <t>Valeriia Guliaeva</t>
  </si>
  <si>
    <t>https://my.aidaform.com/form/3a5cmgm00x8/response/46370fe6-1de3-4036-a013-13c8a2b7bfbf</t>
  </si>
  <si>
    <t>Bright</t>
  </si>
  <si>
    <t>Omar Abu Alwafa</t>
  </si>
  <si>
    <t>https://my.aidaform.com/form/3a5cmgm00x8/response/99177beb-0bed-4981-9261-79256873d7af</t>
  </si>
  <si>
    <t>Confirmed?</t>
  </si>
  <si>
    <t>Syeda Moneebah Noman</t>
  </si>
  <si>
    <t>https://my.aidaform.com/form/3a5cmgm00x8/response/40d5d883-fdff-493e-bb84-927688b92156</t>
  </si>
  <si>
    <t>Halbast  Karim</t>
  </si>
  <si>
    <t>halbast.abdwlah@gmail.com</t>
  </si>
  <si>
    <t>YPDS-JKT-F159</t>
  </si>
  <si>
    <t>0c6a6137-2797-489e-a272-dbb81510fdfd.mov (20.13 MB)</t>
  </si>
  <si>
    <t>DUP_RESOLVED_REPEAT_IGNORED</t>
  </si>
  <si>
    <t>https://my.aidaform.com/form/3a5cmgm00x8/response/c3c44ce7-44a7-40c5-bd9a-cb21bfb930b3</t>
  </si>
  <si>
    <t>repeat</t>
  </si>
  <si>
    <t>https://my.aidaform.com/form/3a5cmgm00x8/response/47a41065-e866-43a8-9dd5-d2bfb64e23d9</t>
  </si>
  <si>
    <t>Need to check his working background</t>
  </si>
  <si>
    <t>OSMAN YILDIRIM</t>
  </si>
  <si>
    <t>osmanyildirim8308@gmail.com</t>
  </si>
  <si>
    <t>ypdscscd160</t>
  </si>
  <si>
    <t>fd6d034a-9acb-480a-872e-588df9c753b2.webm (10.08 MB)</t>
  </si>
  <si>
    <t>https://my.aidaform.com/form/3a5cmgm00x8/response/418b62d8-e751-4211-a1ce-afe13da00e62</t>
  </si>
  <si>
    <t>ezzaldin hamed</t>
  </si>
  <si>
    <t>https://my.aidaform.com/form/3a5cmgm00x8/response/64d2cdb7-b16e-487b-8eef-1a11df79d40a</t>
  </si>
  <si>
    <t>Dashkina Mariam</t>
  </si>
  <si>
    <t>https://my.aidaform.com/form/3a5cmgm00x8/response/9fc29cf7-3180-4aea-940e-3d91c23aa400</t>
  </si>
  <si>
    <t>ASA MOHAMMED</t>
  </si>
  <si>
    <t>https://my.aidaform.com/form/3a5cmgm00x8/response/fe2e5037-c18e-48bb-bda5-fffd04a052bf</t>
  </si>
  <si>
    <t>Rahim Nii Okai Mettle</t>
  </si>
  <si>
    <t>https://my.aidaform.com/form/3a5cmgm00x8/response/e3d0f3e3-97e1-463e-b186-103d8fba7235</t>
  </si>
  <si>
    <t>mohammadabuhamad227@gmail.com</t>
  </si>
  <si>
    <t>https://my.aidaform.com/form/3a5cmgm00x8/response/885a0de6-1bfa-4b3a-8202-85ba7216a922</t>
  </si>
  <si>
    <t>Hina from Lincoln Corner</t>
  </si>
  <si>
    <t>Hina Shahnaz</t>
  </si>
  <si>
    <t>https://my.aidaform.com/form/3a5cmgm00x8/response/a091d0db-4a42-4c0c-8363-10a77f873af3</t>
  </si>
  <si>
    <t>With discount</t>
  </si>
  <si>
    <t>Vothana Horng</t>
  </si>
  <si>
    <t>https://my.aidaform.com/form/3a5cmgm00x8/response/86ac03bc-0ffc-461d-9258-ae593bd94f2d</t>
  </si>
  <si>
    <t>kenomoto1995@gmail.com</t>
  </si>
  <si>
    <t>https://my.aidaform.com/form/3a5cmgm00x8/response/2dd944c3-a117-43ef-a50d-868b21d9334d</t>
  </si>
  <si>
    <t>Biiara Zheenalieva</t>
  </si>
  <si>
    <t>https://my.aidaform.com/form/3a5cmgm00x8/response/86b08722-56b7-4631-a3f0-4e18122ba85b</t>
  </si>
  <si>
    <t>Need to check flight</t>
  </si>
  <si>
    <t>Venus Janelle Samonte</t>
  </si>
  <si>
    <t>DUP_RESOLVED_BLANK_IGNORED</t>
  </si>
  <si>
    <t>https://my.aidaform.com/form/3a5cmgm00x8/response/5979d563-710e-4b3f-b459-300621bd8d99</t>
  </si>
  <si>
    <t>https://my.aidaform.com/form/3a5cmgm00x8/response/284e68a0-cc23-42e0-bda7-76c7c6ff51db</t>
  </si>
  <si>
    <t>Kia LeClair</t>
  </si>
  <si>
    <t>https://my.aidaform.com/form/3a5cmgm00x8/response/1337a3c5-d8e9-49d9-9853-acf957c61718</t>
  </si>
  <si>
    <t>Akhila Chandran</t>
  </si>
  <si>
    <t>https://my.aidaform.com/form/3a5cmgm00x8/response/f8212c4f-7388-4595-a97e-cd79bd16d14c</t>
  </si>
  <si>
    <t>Oluwademilade Oladipo</t>
  </si>
  <si>
    <t>https://my.aidaform.com/form/3a5cmgm00x8/response/da8ca3b1-7325-42eb-ab23-e82d48cbb6f0</t>
  </si>
  <si>
    <t>gizelle.clevanka@gmail.com</t>
  </si>
  <si>
    <t>https://my.aidaform.com/form/3a5cmgm00x8/response/b8424f01-5c66-4290-842d-2125bfa2cfd3</t>
  </si>
  <si>
    <t>WHO IS HE?</t>
  </si>
  <si>
    <t>Chen How Calvin Goh</t>
  </si>
  <si>
    <t>https://my.aidaform.com/form/3a5cmgm00x8/response/02b28cef-908e-47bc-be5e-144b1d350867</t>
  </si>
  <si>
    <t>Too AI</t>
  </si>
  <si>
    <t>Bhavya Agarwal</t>
  </si>
  <si>
    <t>https://my.aidaform.com/form/3a5cmgm00x8/response/051458f7-12b4-43a2-8586-2ff615a8b1c8</t>
  </si>
  <si>
    <t>Truc Nguyen</t>
  </si>
  <si>
    <t>thanhtrucworkplace.6868@gmail.com</t>
  </si>
  <si>
    <t>YPDS-JKT-26-F184</t>
  </si>
  <si>
    <t>9036f3a8-a8b6-4632-b639-93ece27c679d.webm (16.05 MB)</t>
  </si>
  <si>
    <t>https://my.aidaform.com/form/3a5cmgm00x8/response/f0580d0f-dab3-4524-99d6-72ec20a3126e</t>
  </si>
  <si>
    <t>She is good, but need only one girl</t>
  </si>
  <si>
    <t>Maarij Shamim</t>
  </si>
  <si>
    <t>https://my.aidaform.com/form/3a5cmgm00x8/response/f5eee282-1f72-4d47-8c0e-d13eef2bbaad</t>
  </si>
  <si>
    <t>Need to double check, he is indian</t>
  </si>
  <si>
    <t>Eshan Jaipuriar</t>
  </si>
  <si>
    <t>https://my.aidaform.com/form/3a5cmgm00x8/response/f8c5937d-272e-4560-8bee-ec72bcadbca5</t>
  </si>
  <si>
    <t>Need to check again, flight</t>
  </si>
  <si>
    <t>Katsiaryna Zhukovich</t>
  </si>
  <si>
    <t>https://my.aidaform.com/form/3a5cmgm00x8/response/cb903802-46ec-4a41-9e92-4641bfbe1df1</t>
  </si>
  <si>
    <t>Daniel Shalangwa</t>
  </si>
  <si>
    <t>https://my.aidaform.com/form/3a5cmgm00x8/response/0fce47d1-48f5-4c86-8c1a-d5ae8391dc4d</t>
  </si>
  <si>
    <t>Person of colour</t>
  </si>
  <si>
    <t>Uchechi Ibewuike</t>
  </si>
  <si>
    <t>https://my.aidaform.com/form/3a5cmgm00x8/response/937a667b-437a-42dc-bae9-f2d12ebe2a84</t>
  </si>
  <si>
    <t>Sharp accent</t>
  </si>
  <si>
    <t>Not very impressive in terms of experience</t>
  </si>
  <si>
    <t>maroua bensfia khiyat</t>
  </si>
  <si>
    <t>marouabensfiakhiyat@gmail.com</t>
  </si>
  <si>
    <t>YPDS-JKT-F191</t>
  </si>
  <si>
    <t>9d591867-cb02-443a-9241-d6709b3a51ae.webm (4.34 MB)</t>
  </si>
  <si>
    <t>ID</t>
  </si>
  <si>
    <t>Link</t>
  </si>
  <si>
    <t>Status</t>
  </si>
  <si>
    <t>Remarks</t>
  </si>
  <si>
    <t>Doublec checked</t>
  </si>
  <si>
    <t>1. What's your name?</t>
  </si>
  <si>
    <t>2. Your Email</t>
  </si>
  <si>
    <t>3. Applicant ID:</t>
  </si>
  <si>
    <t>4. Question:</t>
  </si>
  <si>
    <t>5. I have read and agreed to Terms and Conditions</t>
  </si>
  <si>
    <t>Match Flag</t>
  </si>
  <si>
    <t>https://my.aidaform.com/form/3a5cmgm00x8/response/cc69f275-149e-491c-b5ac-265df452703e</t>
  </si>
  <si>
    <t>Muhammad Bilal</t>
  </si>
  <si>
    <t>NO_MATCH</t>
  </si>
  <si>
    <t>#</t>
  </si>
  <si>
    <t>Created</t>
  </si>
  <si>
    <t>9fdd928c-3071-46ef-b322-65ef02df8fbc</t>
  </si>
  <si>
    <t>2026-07-17T20:21:41+00:00</t>
  </si>
  <si>
    <t>731d62b9-00a1-4a77-83ae-fbfc7e46d299</t>
  </si>
  <si>
    <t>2026-07-17T18:59:09+00:00</t>
  </si>
  <si>
    <t>e909316b-b371-4a96-ac3d-762f1002a1b9</t>
  </si>
  <si>
    <t>2026-07-17T17:59:29+00:00</t>
  </si>
  <si>
    <t>87a7b6d2-8946-4996-9e40-c2c30058d390</t>
  </si>
  <si>
    <t>2026-07-17T17:40:08+00:00</t>
  </si>
  <si>
    <t>bcdb0962-931d-4d3f-8bec-e8c47bc38533</t>
  </si>
  <si>
    <t>2026-07-17T17:26:08+00:00</t>
  </si>
  <si>
    <t>b3314908-1bff-4de8-93f7-de468f7280b9</t>
  </si>
  <si>
    <t>2026-07-17T17:11:48+00:00</t>
  </si>
  <si>
    <t>3f471f2a-b002-4102-9b6c-7f287d192a99</t>
  </si>
  <si>
    <t>2026-07-17T16:19:29+00:00</t>
  </si>
  <si>
    <t>0ecddca0-eb7f-406e-8521-6bec6f474628</t>
  </si>
  <si>
    <t>2026-07-17T16:18:06+00:00</t>
  </si>
  <si>
    <t>8cd162ce-f80d-482c-abd3-d83c121f358e</t>
  </si>
  <si>
    <t>2026-07-17T16:15:16+00:00</t>
  </si>
  <si>
    <t>24862787-d559-4182-91d0-67851148de44</t>
  </si>
  <si>
    <t>2026-07-17T16:08:50+00:00</t>
  </si>
  <si>
    <t>eb290178-6901-4784-abba-07a63cdce82c</t>
  </si>
  <si>
    <t>2026-07-17T16:01:12+00:00</t>
  </si>
  <si>
    <t>937a667b-437a-42dc-bae9-f2d12ebe2a84</t>
  </si>
  <si>
    <t>2026-07-17T15:59:25+00:00</t>
  </si>
  <si>
    <t>21357e8e-3b08-45d1-b1dc-e9ddbab277ed</t>
  </si>
  <si>
    <t>2026-07-17T15:59:24+00:00</t>
  </si>
  <si>
    <t>633343dc-cdff-42b8-9b4e-1726260ff6cd</t>
  </si>
  <si>
    <t>2026-07-17T15:59:22+00:00</t>
  </si>
  <si>
    <t>be439bef-5c4a-462d-abf4-ef0294f42ae4</t>
  </si>
  <si>
    <t>2026-07-17T15:48:04+00:00</t>
  </si>
  <si>
    <t>051458f7-12b4-43a2-8586-2ff615a8b1c8</t>
  </si>
  <si>
    <t>2026-07-17T15:44:31+00:00</t>
  </si>
  <si>
    <t>12970ddd-7569-4717-871c-d34d81bc33f7</t>
  </si>
  <si>
    <t>2026-07-17T15:41:47+00:00</t>
  </si>
  <si>
    <t>c519be7e-43e9-47e6-be4b-3fa83b897c2b</t>
  </si>
  <si>
    <t>2026-07-17T15:40:58+00:00</t>
  </si>
  <si>
    <t>40d5d883-fdff-493e-bb84-927688b92156</t>
  </si>
  <si>
    <t>2026-07-17T15:23:19+00:00</t>
  </si>
  <si>
    <t>47a41065-e866-43a8-9dd5-d2bfb64e23d9</t>
  </si>
  <si>
    <t>2026-07-17T15:22:31+00:00</t>
  </si>
  <si>
    <t>9d22b5ed-08fe-4af6-a31e-cf34d75763d8</t>
  </si>
  <si>
    <t>2026-07-17T15:18:45+00:00</t>
  </si>
  <si>
    <t>06f4953d-b324-4a55-abd9-d3932c5bd1ca</t>
  </si>
  <si>
    <t>2026-07-17T15:06:46+00:00</t>
  </si>
  <si>
    <t>76923de5-3bac-44af-a492-b047bf8030cd</t>
  </si>
  <si>
    <t>2026-07-17T14:43:38+00:00</t>
  </si>
  <si>
    <t>552fdaa7-e6a8-4bf5-b9c4-7a70f5307e47</t>
  </si>
  <si>
    <t>2026-07-17T14:34:00+00:00</t>
  </si>
  <si>
    <t>5910a748-9218-4b2f-b0da-44046effd3fa</t>
  </si>
  <si>
    <t>2026-07-17T14:33:07+00:00</t>
  </si>
  <si>
    <t>c3c44ce7-44a7-40c5-bd9a-cb21bfb930b3</t>
  </si>
  <si>
    <t>2026-07-17T14:22:41+00:00</t>
  </si>
  <si>
    <t>b3e2dfbc-c3d6-43b8-90d2-15faf4c961a1.mov (19.47 MB)</t>
  </si>
  <si>
    <t>d02a5382-7a4c-48ad-8ca5-288e4cd01d4e</t>
  </si>
  <si>
    <t>2026-07-17T14:21:23+00:00</t>
  </si>
  <si>
    <t>jadsandakli05@gmail.com</t>
  </si>
  <si>
    <t>494c7ce8-0eb3-47d3-bbbb-5a1bff2ae596.webm (10.59 MB)</t>
  </si>
  <si>
    <t>65501328-3509-4d3d-bdf2-037cb26280b0</t>
  </si>
  <si>
    <t>2026-07-17T14:12:35+00:00</t>
  </si>
  <si>
    <t>radiachaoui@yahoo.com</t>
  </si>
  <si>
    <t>YPDS-JKT-F20</t>
  </si>
  <si>
    <t>18409edd-57b2-4d70-b742-8827b2e24b98.webm (7.99 MB)</t>
  </si>
  <si>
    <t>418b62d8-e751-4211-a1ce-afe13da00e62</t>
  </si>
  <si>
    <t>2026-07-17T14:04:26+00:00</t>
  </si>
  <si>
    <t>ezzaldinhamed4@gmail.com</t>
  </si>
  <si>
    <t>YPDS-JKT-F161</t>
  </si>
  <si>
    <t>1ecc072c-386f-4dd9-a2c0-8283724b1575.webm (5.35 MB)</t>
  </si>
  <si>
    <t>851f8968-f8e4-4284-9aae-b1204473c2bb</t>
  </si>
  <si>
    <t>2026-07-17T13:41:58+00:00</t>
  </si>
  <si>
    <t>garlenmao@gmail.com</t>
  </si>
  <si>
    <t>YPDS-JKT-26-F18</t>
  </si>
  <si>
    <t>6c6697b1-bc83-41f3-a6a5-4f0fd9a173a2.webm (13.43 MB)</t>
  </si>
  <si>
    <t>b00b495d-a2b1-46ed-bdc0-ac6053837b9e</t>
  </si>
  <si>
    <t>2026-07-17T13:34:09+00:00</t>
  </si>
  <si>
    <t>azizv0127@gmail.com</t>
  </si>
  <si>
    <t>00e0d48c-f403-48fa-9fad-37cfc6ac2837.mov (14.68 MB)</t>
  </si>
  <si>
    <t>58201bcf-5be9-4aae-aec7-5f8f01bc814c</t>
  </si>
  <si>
    <t>2026-07-17T13:31:25+00:00</t>
  </si>
  <si>
    <t>alshmasy4@gmail.com</t>
  </si>
  <si>
    <t>941f02a9-bd6a-41d7-a3e7-793a60af08dd.mov (12.96 MB)</t>
  </si>
  <si>
    <t>ec0d84b4-a486-4548-852c-0e3bdbd0dc42</t>
  </si>
  <si>
    <t>2026-07-17T13:22:43+00:00</t>
  </si>
  <si>
    <t>manonaadel21@gmail.com</t>
  </si>
  <si>
    <t>YPDS-JKT-F81</t>
  </si>
  <si>
    <t>3f65dd74-42d0-485a-b8ec-b8b5b50a5356.mp4 (721.91 MB)</t>
  </si>
  <si>
    <t>f8c5937d-272e-4560-8bee-ec72bcadbca5</t>
  </si>
  <si>
    <t>2026-07-17T13:05:47+00:00</t>
  </si>
  <si>
    <t>zukovich.ka@gmail.com</t>
  </si>
  <si>
    <t>YPDS-JKT-F187</t>
  </si>
  <si>
    <t>2088caa5-d572-4be9-8166-8e05a76c4caa.webm (15.0 MB)</t>
  </si>
  <si>
    <t>898ecbfd-f08c-4cc4-a0fc-eb4084d83dd9</t>
  </si>
  <si>
    <t>2026-07-17T12:58:25+00:00</t>
  </si>
  <si>
    <t>sami.skh2006@gmail.com</t>
  </si>
  <si>
    <t>YPDS-JKT-26-F133</t>
  </si>
  <si>
    <t>a96dfef7-0b5c-4f96-b03a-3f9e0688870e.mov (13.03 MB)</t>
  </si>
  <si>
    <t>16400b1a-6aa2-4f34-b263-aa33a8dee5bb</t>
  </si>
  <si>
    <t>2026-07-17T12:57:35+00:00</t>
  </si>
  <si>
    <t>raal0192@gmail.com</t>
  </si>
  <si>
    <t xml:space="preserve">raal0192@gmail.com </t>
  </si>
  <si>
    <t>8dc4549d-ae85-472a-a71f-3011fc3844d4.mov (27.84 MB)</t>
  </si>
  <si>
    <t>dfcce33f-35c7-4c16-a940-e3e59f641b8e</t>
  </si>
  <si>
    <t>2026-07-17T12:39:49+00:00</t>
  </si>
  <si>
    <t>asherrizahmerlyencelindro@gmail.com</t>
  </si>
  <si>
    <t>YPDS-JKT-F83</t>
  </si>
  <si>
    <t>9f51b810-f156-4bf2-99b9-2270257fb527.webm (14.26 MB)</t>
  </si>
  <si>
    <t>0fce47d1-48f5-4c86-8c1a-d5ae8391dc4d</t>
  </si>
  <si>
    <t>2026-07-17T12:37:05+00:00</t>
  </si>
  <si>
    <t>ugi1@williams.edu</t>
  </si>
  <si>
    <t>YPDS-JKT-26-F189</t>
  </si>
  <si>
    <t>d3f11f43-49d0-4a28-8135-a79bcf17d699.mov (12.06 MB)</t>
  </si>
  <si>
    <t>b9b772d6-e0db-47a0-969b-8d91fd2c6b96</t>
  </si>
  <si>
    <t>2026-07-17T12:36:44+00:00</t>
  </si>
  <si>
    <t>sikhakhane8@gmail.com</t>
  </si>
  <si>
    <t>YPDS-JKT-26-F90</t>
  </si>
  <si>
    <t>5e1e7b69-ba7c-46a0-8c7c-8130806cf0c9.webm (12.05 MB)</t>
  </si>
  <si>
    <t>02b28cef-908e-47bc-be5e-144b1d350867</t>
  </si>
  <si>
    <t>2026-07-17T12:20:50+00:00</t>
  </si>
  <si>
    <t>agarwalbhavya117@gmail.com</t>
  </si>
  <si>
    <t>YPDS- JKT-26-F183</t>
  </si>
  <si>
    <t>a7ce0a9b-aaa4-4132-824e-cbcc4da02667.mov (15.11 MB)</t>
  </si>
  <si>
    <t>46370fe6-1de3-4036-a013-13c8a2b7bfbf</t>
  </si>
  <si>
    <t>2026-07-17T12:19:22+00:00</t>
  </si>
  <si>
    <t>omarwafa2000@gmail.com</t>
  </si>
  <si>
    <t>YPDS-JKT-F157</t>
  </si>
  <si>
    <t>5287bc39-9686-4bf1-8803-ae3047219abe.webm (11.65 MB)</t>
  </si>
  <si>
    <t>e0ac0b58-2868-4b02-989c-5e25f7cb1d00</t>
  </si>
  <si>
    <t>2026-07-17T12:05:09+00:00</t>
  </si>
  <si>
    <t>royguamilasjordien@gmail.com</t>
  </si>
  <si>
    <t>YPDS-JKT-26-F93</t>
  </si>
  <si>
    <t>4bf8759c-279a-4916-b572-be44cb0dabc2.mp4 (335.73 MB)</t>
  </si>
  <si>
    <t>99177beb-0bed-4981-9261-79256873d7af</t>
  </si>
  <si>
    <t>2026-07-17T11:48:51+00:00</t>
  </si>
  <si>
    <t>moneebah.py@gmail.com</t>
  </si>
  <si>
    <t>YPDS-JKT-F158</t>
  </si>
  <si>
    <t>8ec2ea35-ae73-42e8-947a-88249f757206.webm (15.12 MB)</t>
  </si>
  <si>
    <t>b2359713-bf1e-4ade-b79a-b2129e335056</t>
  </si>
  <si>
    <t>2026-07-17T11:13:00+00:00</t>
  </si>
  <si>
    <t>muhammad.saleh2207@gmail.com</t>
  </si>
  <si>
    <t>YPDS-JKT-26-F112</t>
  </si>
  <si>
    <t>2c4ccabf-65d9-4245-86eb-a4a1d5203934.mp4 (53.36 MB)</t>
  </si>
  <si>
    <t>85e4c9f9-40c8-4e2b-ac5e-37fbf9a8b464</t>
  </si>
  <si>
    <t>2026-07-17T11:08:10+00:00</t>
  </si>
  <si>
    <t>ROBIYABEGIM_25013096@UTP.EDU.MY</t>
  </si>
  <si>
    <t>YPDS-JKT-F92</t>
  </si>
  <si>
    <t>44522147-8426-4874-afce-63a7e9b0b95a.mp4 (231.85 MB)</t>
  </si>
  <si>
    <t>abaf155d-0b17-4df7-b5d4-06f01bf211f5</t>
  </si>
  <si>
    <t>2026-07-17T10:52:02+00:00</t>
  </si>
  <si>
    <t>mirzaeemaryam1997@gmail.com</t>
  </si>
  <si>
    <t>YPDS-JKT-26-F73</t>
  </si>
  <si>
    <t>7c8dcbc9-9bbc-4d85-bef9-eb1e9b504890.webm (14.93 MB)</t>
  </si>
  <si>
    <t>ea085cb5-fc50-49e8-b93d-d09e69b73640</t>
  </si>
  <si>
    <t>2026-07-17T10:48:14+00:00</t>
  </si>
  <si>
    <t>shehzen.bakhsh@gmail.com</t>
  </si>
  <si>
    <t>YPDS-JKT-26-F103</t>
  </si>
  <si>
    <t>990552ea-94b0-4b4c-843b-7948b38e944a.webm (14.64 MB)</t>
  </si>
  <si>
    <t>a321bda3-b27c-4b98-a2d4-6f631bdd32ce</t>
  </si>
  <si>
    <t>2026-07-17T10:47:30+00:00</t>
  </si>
  <si>
    <t>muqaddas20070311@gmail.com</t>
  </si>
  <si>
    <t>6d5d05a5-172a-4daa-96bb-8aa4a89d3441.mp4 (252.33 MB)</t>
  </si>
  <si>
    <t>95e13aec-90d0-41b0-840a-bdc3ca6fe176</t>
  </si>
  <si>
    <t>2026-07-17T10:23:49+00:00</t>
  </si>
  <si>
    <t>iamlerafrolova1@yandex.ru</t>
  </si>
  <si>
    <t>YPDS-JKT-F156</t>
  </si>
  <si>
    <t>a1e4aa74-4bcc-4f7f-a261-1105763272f6.webm (11.67 MB)</t>
  </si>
  <si>
    <t>01e245cf-6e2c-49e0-9d69-27964d76fe71</t>
  </si>
  <si>
    <t>2026-07-17T10:23:23+00:00</t>
  </si>
  <si>
    <t>ilboudodieudonne01@gmail.com</t>
  </si>
  <si>
    <t>YPDS-JKT-26-F69</t>
  </si>
  <si>
    <t>4c08fbf2-3983-473f-9099-0f985cf3ac61.mov (7.41 MB)</t>
  </si>
  <si>
    <t>257f55c1-7071-4c8f-acdf-4f1e7e99668b</t>
  </si>
  <si>
    <t>2026-07-17T09:40:03+00:00</t>
  </si>
  <si>
    <t>adeebaaslam03@gmail.com</t>
  </si>
  <si>
    <t>YPDS-JKT-26-F57</t>
  </si>
  <si>
    <t>b0c3573f-0aac-4c71-8716-fbacee024146.webm (13.3 MB)</t>
  </si>
  <si>
    <t>2b991af1-b4dd-4b54-94f5-c696efc4b0cf</t>
  </si>
  <si>
    <t>2026-07-17T09:27:05+00:00</t>
  </si>
  <si>
    <t>lizaahmed262@gmail.com</t>
  </si>
  <si>
    <t>YPDS-JKT-F155</t>
  </si>
  <si>
    <t>50b99b2b-e94c-41ef-b63e-f64a6099c508.mov (12.52 MB)</t>
  </si>
  <si>
    <t>e9620fb4-44c5-49ce-ae35-d005bf3ea7bb</t>
  </si>
  <si>
    <t>2026-07-17T09:08:37+00:00</t>
  </si>
  <si>
    <t>yazan.volkan.yilmaz@gmail.com</t>
  </si>
  <si>
    <t>YPDS-JKT-26-F127</t>
  </si>
  <si>
    <t>7c4a3e7c-40c5-4df1-8bb2-65751963d36b.mov (10.79 MB)</t>
  </si>
  <si>
    <t>b8424f01-5c66-4290-842d-2125bfa2cfd3</t>
  </si>
  <si>
    <t>2026-07-17T08:38:49+00:00</t>
  </si>
  <si>
    <t>gohchenhowcalvin@gmail.com</t>
  </si>
  <si>
    <t>1473e25e-76f7-42a1-9408-1a62cfe7d68c.webm (13.67 MB)</t>
  </si>
  <si>
    <t>10aca9b4-6313-4950-a186-dead2cab6b93</t>
  </si>
  <si>
    <t>2026-07-17T08:13:04+00:00</t>
  </si>
  <si>
    <t>arasnawzad464@gmail.com</t>
  </si>
  <si>
    <t>YPDS-JKT-26-F56</t>
  </si>
  <si>
    <t>3abbea2c-5c1c-4ada-b4dc-12eb6bd28fa7.mov (11.39 MB)</t>
  </si>
  <si>
    <t>e9318082-e350-4e22-8219-d0a40ca28270</t>
  </si>
  <si>
    <t>2026-07-17T07:53:20+00:00</t>
  </si>
  <si>
    <t>victoriaerhahon@ldvfilms.com</t>
  </si>
  <si>
    <t xml:space="preserve"> YPDS-JKT-26-F60</t>
  </si>
  <si>
    <t>713d87a2-ef7c-4f7b-99e9-2d5aa5dda9b5.webm (10.47 MB)</t>
  </si>
  <si>
    <t>ea3505fd-763f-4435-aca2-9ee86a2d5504</t>
  </si>
  <si>
    <t>2026-07-17T07:45:02+00:00</t>
  </si>
  <si>
    <t>simyu3262@gmail.com</t>
  </si>
  <si>
    <t>YPDS-JKT-26-F75</t>
  </si>
  <si>
    <t>191597f6-0865-4269-b5b0-90c6134b1b22.mov (12.71 MB)</t>
  </si>
  <si>
    <t>af41bce0-3a7d-4891-9532-884a199e06d1</t>
  </si>
  <si>
    <t>2026-07-17T07:17:57+00:00</t>
  </si>
  <si>
    <t>mihaelaistim@gmail.com</t>
  </si>
  <si>
    <t>YPDS-JKT-26-F141</t>
  </si>
  <si>
    <t>0be3f4c1-95fe-40ac-9cd8-834086e18e04.webm (14.84 MB)</t>
  </si>
  <si>
    <t>ba18d545-6bfb-42be-ac59-dd4094c1750a</t>
  </si>
  <si>
    <t>2026-07-17T07:04:53+00:00</t>
  </si>
  <si>
    <t>akeeloof@gmail.com</t>
  </si>
  <si>
    <t>YPDS-JKT-F21</t>
  </si>
  <si>
    <t>f7b08f1f-228a-4e13-9c14-1fcab0e71f03.webm (10.79 MB)</t>
  </si>
  <si>
    <t>d382e788-7726-4cff-b46b-f2ea974ae64e</t>
  </si>
  <si>
    <t>2026-07-17T06:35:12+00:00</t>
  </si>
  <si>
    <t>sa24e6ll@apu.ac.jp</t>
  </si>
  <si>
    <t>YPDS-JKT-26-F104</t>
  </si>
  <si>
    <t>ad837481-618a-4204-9471-5ce5e541f094.webm (8.96 MB)</t>
  </si>
  <si>
    <t>f1169621-f979-46ea-83df-6e5a02ddcf28</t>
  </si>
  <si>
    <t>2026-07-17T06:07:16+00:00</t>
  </si>
  <si>
    <t>dnayak4505@gmail.com</t>
  </si>
  <si>
    <t>YPDS-JKT-26-F39</t>
  </si>
  <si>
    <t>c5918fc7-cf85-433e-b485-ec1990801ff4.webm (14.98 MB)</t>
  </si>
  <si>
    <t>16dc546e-5428-49de-9f0f-67dc41c16f3a</t>
  </si>
  <si>
    <t>2026-07-17T06:00:55+00:00</t>
  </si>
  <si>
    <t>mawlodahassas104@gmail.com</t>
  </si>
  <si>
    <t>YPDS-JKT-F121</t>
  </si>
  <si>
    <t>d36283a8-7c9e-4a90-956b-881026503727.webm (11.36 MB)</t>
  </si>
  <si>
    <t>885a0de6-1bfa-4b3a-8202-85ba7216a922</t>
  </si>
  <si>
    <t>2026-07-17T04:46:03+00:00</t>
  </si>
  <si>
    <t>hinashahnaz685@gmail.com</t>
  </si>
  <si>
    <t>a0e9ae67-74a6-4d99-9e89-501775f6cf39.webm (9.84 MB)</t>
  </si>
  <si>
    <t>8551fc9f-e4a4-4a41-9c4d-ad8b1cdd0b72</t>
  </si>
  <si>
    <t>2026-07-17T04:34:43+00:00</t>
  </si>
  <si>
    <t>veronika.aniss@gmail.com</t>
  </si>
  <si>
    <t>f6e2cbaa-24d9-43c3-8945-a2afc6db8e14.webm (14.98 MB)</t>
  </si>
  <si>
    <t>2e7fa182-eeeb-4102-a92e-f13a5558a0a6</t>
  </si>
  <si>
    <t>2026-07-17T04:12:30+00:00</t>
  </si>
  <si>
    <t>amel.susanta@gmail.com</t>
  </si>
  <si>
    <t>YPDS-JKT-26-F43</t>
  </si>
  <si>
    <t>3e26871b-0564-4b09-a2bf-0677f45de718.webm (14.67 MB)</t>
  </si>
  <si>
    <t>bc1f62e1-aaab-4183-934a-0c937817c84c</t>
  </si>
  <si>
    <t>2026-07-17T04:08:40+00:00</t>
  </si>
  <si>
    <t>sanaullahbaburi99@gmail.com</t>
  </si>
  <si>
    <t>ypdscscd86</t>
  </si>
  <si>
    <t>ba81a661-9ec6-4ec1-8685-d121b43d95d7.mp4 (92.89 MB)</t>
  </si>
  <si>
    <t>284e68a0-cc23-42e0-bda7-76c7c6ff51db</t>
  </si>
  <si>
    <t>2026-07-17T03:41:08+00:00</t>
  </si>
  <si>
    <t>kialeclair22@gmail.com</t>
  </si>
  <si>
    <t>YPDS-JKT-26-F175</t>
  </si>
  <si>
    <t>6aabe1e3-1adf-4893-a45d-7d0e6f6c646e.webm (15.07 MB)</t>
  </si>
  <si>
    <t>8ee3cef9-d5e1-4d69-b65d-5640bd2be1a6</t>
  </si>
  <si>
    <t>2026-07-17T03:24:45+00:00</t>
  </si>
  <si>
    <t>samievparviz@gmail.com</t>
  </si>
  <si>
    <t>YPDS-JKT-26-F102</t>
  </si>
  <si>
    <t>6602e4aa-0a61-49f8-b662-6b55937f2805.webm (15.16 MB)</t>
  </si>
  <si>
    <t>f8212c4f-7388-4595-a97e-cd79bd16d14c</t>
  </si>
  <si>
    <t>2026-07-17T03:23:18+00:00</t>
  </si>
  <si>
    <t>demilade.oladipo@gmail.com</t>
  </si>
  <si>
    <t>YPDS-JKT-177-F</t>
  </si>
  <si>
    <t>d372e125-918e-499e-8989-a7f1dad4ac7b.webm (3.04 MB)</t>
  </si>
  <si>
    <t>a091d0db-4a42-4c0c-8363-10a77f873af3</t>
  </si>
  <si>
    <t>2026-07-17T02:59:32+00:00</t>
  </si>
  <si>
    <t>vothanahorng7@gmail.com</t>
  </si>
  <si>
    <t>ypdscscd169</t>
  </si>
  <si>
    <t>46287ee6-634a-4ca2-aaaa-81897c049905.mov (29.6 MB)</t>
  </si>
  <si>
    <t>cb903802-46ec-4a41-9e92-4641bfbe1df1</t>
  </si>
  <si>
    <t>2026-07-17T02:16:01+00:00</t>
  </si>
  <si>
    <t>shalangwadaniel@gmail.com</t>
  </si>
  <si>
    <t>YPDS-JKT-26-F188</t>
  </si>
  <si>
    <t>0ee60b75-5aec-4342-b80b-a4680e0d203c.mov (13.8 MB)</t>
  </si>
  <si>
    <t>0228aa36-5e17-4375-944a-aebe234b23ba</t>
  </si>
  <si>
    <t>2026-07-17T02:00:14+00:00</t>
  </si>
  <si>
    <t>askatmanas81@gmail.com</t>
  </si>
  <si>
    <t>YPDS-JKT-F108</t>
  </si>
  <si>
    <t>deedb09f-3d40-4c49-9013-a0a680b846ec.webm (12.76 MB)</t>
  </si>
  <si>
    <t>3cb71feb-da79-496b-98ea-067d483e2903</t>
  </si>
  <si>
    <t>2026-07-17T00:49:33+00:00</t>
  </si>
  <si>
    <t>dagnewyemane273@gmail.com</t>
  </si>
  <si>
    <t>YPDS-JKT-26-F110</t>
  </si>
  <si>
    <t>e9eb1346-39e3-48e6-9266-076dbaf41f09.webm (9.97 MB)</t>
  </si>
  <si>
    <t>4daa6675-3517-4fd3-8850-4d52ee899b31</t>
  </si>
  <si>
    <t>2026-07-16T23:23:03+00:00</t>
  </si>
  <si>
    <t>shahram.jalal98@icloud.com</t>
  </si>
  <si>
    <t>YPDS-JKT-26-F52</t>
  </si>
  <si>
    <t>6134bb1d-eeae-4d62-84bd-8ca5f76b7034.mov (12.2 MB)</t>
  </si>
  <si>
    <t>f0580d0f-dab3-4524-99d6-72ec20a3126e</t>
  </si>
  <si>
    <t>2026-07-16T22:53:27+00:00</t>
  </si>
  <si>
    <t>maarij.shamim3@gmail.com</t>
  </si>
  <si>
    <t>YPDS-JKT-F185</t>
  </si>
  <si>
    <t>ce75baa0-1d45-4fa1-92db-7985bf63e729.webm (9.83 MB)</t>
  </si>
  <si>
    <t>34a9f76a-0399-478e-acd1-54874f8bddc8</t>
  </si>
  <si>
    <t>2026-07-16T21:59:18+00:00</t>
  </si>
  <si>
    <t>mahmoudnoureddinaslan@gmail.com</t>
  </si>
  <si>
    <t>YPDS-JKT-26-F129</t>
  </si>
  <si>
    <t>369f5d60-b0ac-429c-924f-672e6e532fec.mov (9.2 MB)</t>
  </si>
  <si>
    <t>6dc6bddb-45f7-4d1a-966c-0793744813c5</t>
  </si>
  <si>
    <t>2026-07-16T21:55:22+00:00</t>
  </si>
  <si>
    <t>mpborgen@ziggo.nl</t>
  </si>
  <si>
    <t>YPDS-JKT-F132</t>
  </si>
  <si>
    <t>e0dc40c6-5d9a-4ab4-ab88-113bff8ae011.webm (9.0 MB)</t>
  </si>
  <si>
    <t>6535bd4d-7dfd-401a-85d6-0271d265ad97</t>
  </si>
  <si>
    <t>2026-07-16T21:13:31+00:00</t>
  </si>
  <si>
    <t>vartikajoshi30@gmail.com</t>
  </si>
  <si>
    <t>YPDS-JKT-26-F55</t>
  </si>
  <si>
    <t>2c4b271f-aee0-4f72-b04b-61e61eac8473.mov (20.99 MB)</t>
  </si>
  <si>
    <t>c736ad38-1fb2-4464-9aa6-3031b8aae46e</t>
  </si>
  <si>
    <t>2026-07-16T20:58:55+00:00</t>
  </si>
  <si>
    <t>misikirmelkamu1989@gmail.com</t>
  </si>
  <si>
    <t>YPDS-JKT-26-F61</t>
  </si>
  <si>
    <t>ef41bf71-b5fa-444f-b2ce-3153818b8905.webm (1.85 MB)</t>
  </si>
  <si>
    <t>f5eee282-1f72-4d47-8c0e-d13eef2bbaad</t>
  </si>
  <si>
    <t>2026-07-16T20:07:59+00:00</t>
  </si>
  <si>
    <t>jaipuriar.eshan@gmail.com</t>
  </si>
  <si>
    <t>YPDS-JKT-26-F186</t>
  </si>
  <si>
    <t>be4e2404-c7cf-4bc2-a18a-ff06eabebda0.webm (15.04 MB)</t>
  </si>
  <si>
    <t>fe2e5037-c18e-48bb-bda5-fffd04a052bf</t>
  </si>
  <si>
    <t>2026-07-16T20:00:21+00:00</t>
  </si>
  <si>
    <t>abdulrahimmettle6@gmail.com</t>
  </si>
  <si>
    <t>b9b47c37-e81a-4370-82eb-c7dedf56a9b2.webm (7.85 MB)</t>
  </si>
  <si>
    <t>c3318535-a108-4715-8b45-bdd147bc3b0d</t>
  </si>
  <si>
    <t>2026-07-16T19:42:19+00:00</t>
  </si>
  <si>
    <t>shahodatyoldosheva05@gmail.com</t>
  </si>
  <si>
    <t>f41fbce5-afb2-42ad-bf09-60a7c803030f.webm (10.31 MB)</t>
  </si>
  <si>
    <t>3d5bbd64-14d3-474f-aed0-e7d6fb9fa449</t>
  </si>
  <si>
    <t>2026-07-16T19:38:08+00:00</t>
  </si>
  <si>
    <t>isatoujoof2011@gmail.com</t>
  </si>
  <si>
    <t>YPDS-JKT-26-F25</t>
  </si>
  <si>
    <t>a37bb72e-f872-468e-9f5a-77d4f013bdb7.webm (14.92 MB)</t>
  </si>
  <si>
    <t>3fc5abef-71ea-4db0-82ab-3730f1d47c15</t>
  </si>
  <si>
    <t>2026-07-16T19:23:28+00:00</t>
  </si>
  <si>
    <t>umarmuhammadlawan7@gmail.com</t>
  </si>
  <si>
    <t>YPDS-JKT-26-F87</t>
  </si>
  <si>
    <t>a56b73f9-7153-4077-a96f-413f099f5533.mp4 (314.69 MB)</t>
  </si>
  <si>
    <t>c7a9e5d1-812d-4a1c-8821-b26185361e9c</t>
  </si>
  <si>
    <t>2026-07-16T19:12:13+00:00</t>
  </si>
  <si>
    <t>asminazumagulova@gmail.com</t>
  </si>
  <si>
    <t>YPDS-JKT-26-F114</t>
  </si>
  <si>
    <t>bc2739a6-3c23-481e-b703-73e1f597f075.webm (9.8 MB)</t>
  </si>
  <si>
    <t>070ee318-98be-4d0a-a22d-8364fd81212d</t>
  </si>
  <si>
    <t>2026-07-16T18:31:45+00:00</t>
  </si>
  <si>
    <t>mahmoudelshafei.com@gmail.com</t>
  </si>
  <si>
    <t>YPDS-JKT-26-F130</t>
  </si>
  <si>
    <t>1b19b7b4-2f45-4704-acb9-a222a36094e0.webm (15.13 MB)</t>
  </si>
  <si>
    <t>64d2cdb7-b16e-487b-8eef-1a11df79d40a</t>
  </si>
  <si>
    <t>2026-07-16T17:43:02+00:00</t>
  </si>
  <si>
    <t>maramdaskina80593@gmail.com</t>
  </si>
  <si>
    <t>YPDS-JKT-162-F</t>
  </si>
  <si>
    <t>9edc8124-ae6f-4cbb-b60c-d847211ce77c.webm (18.42 MB)</t>
  </si>
  <si>
    <t>2c5b858b-343b-4df2-ac2e-a3038d4fbe92</t>
  </si>
  <si>
    <t>2026-07-16T17:25:01+00:00</t>
  </si>
  <si>
    <t>aisha.kanwal@hotmail.co.uk</t>
  </si>
  <si>
    <t>d355cd23-9b79-4969-9c80-0eddbd23a524.webm (13.6 MB)</t>
  </si>
  <si>
    <t>16c9f03b-bc8c-4bcc-93d2-366489b9fa92</t>
  </si>
  <si>
    <t>2026-07-16T17:09:58+00:00</t>
  </si>
  <si>
    <t>sevvalptekin60@gmail.com</t>
  </si>
  <si>
    <t>30fe8e18-1f04-4106-91d4-54f7e2e35dee.webm (7.79 MB)</t>
  </si>
  <si>
    <t>6e37249a-5492-4332-a287-7b88c505c707</t>
  </si>
  <si>
    <t>2026-07-16T16:58:40+00:00</t>
  </si>
  <si>
    <t>patriciadoejim@gmail.com</t>
  </si>
  <si>
    <t>ypdscscd17</t>
  </si>
  <si>
    <t>6b1de5a9-b416-4855-92fb-8147fbbee37c.webm (15.81 MB)</t>
  </si>
  <si>
    <t>2dd944c3-a117-43ef-a50d-868b21d9334d</t>
  </si>
  <si>
    <t>2026-07-16T16:44:02+00:00</t>
  </si>
  <si>
    <t>biara2016msk@gmail.com</t>
  </si>
  <si>
    <t>YPDS-JKT-171-F</t>
  </si>
  <si>
    <t>22f97b5b-e626-454a-8347-93349c9601d0.webm (10.01 MB)</t>
  </si>
  <si>
    <t>9fc29cf7-3180-4aea-940e-3d91c23aa400</t>
  </si>
  <si>
    <t>2026-07-16T15:34:54+00:00</t>
  </si>
  <si>
    <t>asa.mohammd@gmail.com</t>
  </si>
  <si>
    <t>YPDS-JKT-163-F</t>
  </si>
  <si>
    <t>dccbff85-9a8b-4985-98b7-8ca0647592d9.mov (11.7 MB)</t>
  </si>
  <si>
    <t>a5e09064-1380-43ed-a3ad-7fe33ff8b704</t>
  </si>
  <si>
    <t>2026-07-16T15:21:34+00:00</t>
  </si>
  <si>
    <t>ahmedsyedsharjeel2001@gmail.com</t>
  </si>
  <si>
    <t>YPDS-JKT-26-F31</t>
  </si>
  <si>
    <t>2ada78b7-6bd5-4756-8c33-2d7e1fcbd65f.webm (13.65 MB)</t>
  </si>
  <si>
    <t>6cd38b0f-a836-4f64-ad1e-894a62ffdc9b</t>
  </si>
  <si>
    <t>2026-07-16T15:14:14+00:00</t>
  </si>
  <si>
    <t>lamhanguyen0303@gmail.com</t>
  </si>
  <si>
    <t>3467c218-6d00-4e27-a3a0-3c02b5af14e9.webm (14.77 MB)</t>
  </si>
  <si>
    <t>ab731e70-b253-44e4-8c18-cc07d46a9e76</t>
  </si>
  <si>
    <t>2026-07-16T14:52:22+00:00</t>
  </si>
  <si>
    <t>tmufamba45@gmail.com</t>
  </si>
  <si>
    <t>ypdscscd44</t>
  </si>
  <si>
    <t>ad53f578-586b-4b89-9d33-fad20886ef1d.mp4 (833.12 MB)</t>
  </si>
  <si>
    <t>66e2c6dc-4061-4fa7-900a-23479a9ef7df</t>
  </si>
  <si>
    <t>2026-07-16T13:59:47+00:00</t>
  </si>
  <si>
    <t>abomoin32@gmail.com</t>
  </si>
  <si>
    <t>YPDS-JKT-26-F118</t>
  </si>
  <si>
    <t>d6f6d64f-25b6-4e62-8735-a263946a2ef4.webm (9.08 MB)</t>
  </si>
  <si>
    <t>e9f0d19d-e94a-4a22-8935-a5651cda4bc8</t>
  </si>
  <si>
    <t>2026-07-16T11:34:54+00:00</t>
  </si>
  <si>
    <t>savanealy@yahoo.fr</t>
  </si>
  <si>
    <t>13610724-44d0-4632-abd8-ede27b7fb7d4.webm (15.09 MB)</t>
  </si>
  <si>
    <t>feef56a4-4422-4e74-8914-be83cae02200</t>
  </si>
  <si>
    <t>2026-07-16T11:34:34+00:00</t>
  </si>
  <si>
    <t>johnlenonaliser@students.unnes.ac.id</t>
  </si>
  <si>
    <t>YPDS-JKT-26-F40</t>
  </si>
  <si>
    <t>d61b52ff-98ae-4365-9674-a08bbd005e07.webm (7.18 MB)</t>
  </si>
  <si>
    <t>1337a3c5-d8e9-49d9-9853-acf957c61718</t>
  </si>
  <si>
    <t>2026-07-16T10:05:02+00:00</t>
  </si>
  <si>
    <t>akhilachandran97@gmail.com</t>
  </si>
  <si>
    <t>YPDS-JKT-176-F</t>
  </si>
  <si>
    <t>cff20174-81b6-4f4b-9e6c-73b7b59a7d39.webm (15.09 MB)</t>
  </si>
  <si>
    <t>e25e1179-706b-4487-9b06-93d7ed91ce0b</t>
  </si>
  <si>
    <t>2026-07-16T08:51:20+00:00</t>
  </si>
  <si>
    <t>obidazaher4@gmail.com</t>
  </si>
  <si>
    <t>YPDS-JKT-26-F137</t>
  </si>
  <si>
    <t>f274a3aa-7541-4d19-a369-de20ba3e2766.webm (14.94 MB)</t>
  </si>
  <si>
    <t>70711d03-5afa-453a-b0b3-e41297c522d2</t>
  </si>
  <si>
    <t>2026-07-16T08:43:11+00:00</t>
  </si>
  <si>
    <t>m.areeb335@gmail.com</t>
  </si>
  <si>
    <t>YPDS-JKT-26-F122</t>
  </si>
  <si>
    <t>9fd06e62-13bc-41d7-b516-b6359ba3455c.mov (10.62 MB)</t>
  </si>
  <si>
    <t>eb95ff47-701e-4331-a652-1b4a8679cd46</t>
  </si>
  <si>
    <t>2026-07-16T07:50:21+00:00</t>
  </si>
  <si>
    <t>aishafatima408@gmail.com</t>
  </si>
  <si>
    <t>YPDS-JKT-26-F71</t>
  </si>
  <si>
    <t>763978ff-9ff1-4513-88e2-f0d152db27ca.webm (12.23 MB)</t>
  </si>
  <si>
    <t>fefb6fe0-3339-438b-a8c5-80f81b9e1ae0</t>
  </si>
  <si>
    <t>2026-07-16T05:37:46+00:00</t>
  </si>
  <si>
    <t>tanvirah34@gmail.com</t>
  </si>
  <si>
    <t>4052288e-e280-466e-a733-2e9e6ce52b47.webm (15.13 MB)</t>
  </si>
  <si>
    <t>86b08722-56b7-4631-a3f0-4e18122ba85b</t>
  </si>
  <si>
    <t>2026-07-16T04:33:02+00:00</t>
  </si>
  <si>
    <t>vgsamonte@up.edu.ph</t>
  </si>
  <si>
    <t>YPDS-JKT-172-F</t>
  </si>
  <si>
    <t>02ae910e-65db-4d8f-b54d-e5da3463b64f.webm (12.87 MB)</t>
  </si>
  <si>
    <t>5979d563-710e-4b3f-b459-300621bd8d99</t>
  </si>
  <si>
    <t>2026-07-16T04:15:25+00:00</t>
  </si>
  <si>
    <t>91743aa4-0163-4186-8059-80d22d7bec6b.webm (12.85 MB)</t>
  </si>
  <si>
    <t>cc69f275-149e-491c-b5ac-265df452703e</t>
  </si>
  <si>
    <t>2026-07-16T03:37:29+00:00</t>
  </si>
  <si>
    <t>naasrbilal@gmail.com</t>
  </si>
  <si>
    <t>22f10134-aa37-4b4e-96a8-68b9bbb68d22.webm (41.0 Kb)</t>
  </si>
  <si>
    <t>418e21a2-120d-4192-8061-899ac1e44198</t>
  </si>
  <si>
    <t>2026-07-16T02:39:07+00:00</t>
  </si>
  <si>
    <t>r.levia.asriana@gmail.com</t>
  </si>
  <si>
    <t>YPDS-JKT-26-F78</t>
  </si>
  <si>
    <t>f8520500-7d6d-4f92-a10b-2623ec62da4c.webm (12.09 MB)</t>
  </si>
  <si>
    <t>ddd3b18a-7762-41c2-8fed-59d6f65dbc5a</t>
  </si>
  <si>
    <t>2026-07-16T02:35:18+00:00</t>
  </si>
  <si>
    <t>programs@thecipe.org</t>
  </si>
  <si>
    <t>YPDS</t>
  </si>
  <si>
    <t>afef8d81-e371-4826-9464-f84282c99a3c.mov (555.16 Kb)</t>
  </si>
  <si>
    <t>0bc99b0a-c4be-4242-8e0d-3697fd4773e8</t>
  </si>
  <si>
    <t>2026-07-19T16:04:14+00:00</t>
  </si>
  <si>
    <t>SADAF ZAMAN</t>
  </si>
  <si>
    <t>YPDS-JKT-F148</t>
  </si>
  <si>
    <t>35622de0-12ea-4285-97b4-30a00ae3a8eb.mov (13.95 MB)</t>
  </si>
  <si>
    <t>da8ca3b1-7325-42eb-ab23-e82d48cbb6f0</t>
  </si>
  <si>
    <t>2026-07-19T14:39:57+00:00</t>
  </si>
  <si>
    <t>Gizelle Atmadja</t>
  </si>
  <si>
    <t>YPDS-JKT-26-F178`q</t>
  </si>
  <si>
    <t>4ca6c434-dc7c-484d-b564-2235d451e9b1.webm (14.54 MB)</t>
  </si>
  <si>
    <t>86ac03bc-0ffc-461d-9258-ae593bd94f2d</t>
  </si>
  <si>
    <t>2026-07-19T07:55:22+00:00</t>
  </si>
  <si>
    <t>Kohki Enomoto</t>
  </si>
  <si>
    <t>ypdscscd170</t>
  </si>
  <si>
    <t>83c213fa-40d0-4898-80ad-b19e7a778e9d.webm (14.55 MB)</t>
  </si>
  <si>
    <t>8738e1c2-a291-46ed-a28e-fd677013505a</t>
  </si>
  <si>
    <t>2026-07-18T18:37:20+00:00</t>
  </si>
  <si>
    <t>Fereshteh Sadat Rahimi</t>
  </si>
  <si>
    <t>YPDS-JKT-26-F27</t>
  </si>
  <si>
    <t>75663367-b755-47a1-b3b7-caa0734db141.webm (8.64 MB)</t>
  </si>
  <si>
    <t>0bfc92c0-e815-4cde-98ad-2656788b3b47</t>
  </si>
  <si>
    <t>2026-07-18T14:44:20+00:00</t>
  </si>
  <si>
    <t>YPDS-JKT-F72</t>
  </si>
  <si>
    <t>ec959587-0dbe-4640-933f-8c8ef87376e2.mov (14.98 MB)</t>
  </si>
  <si>
    <t>e3d0f3e3-97e1-463e-b186-103d8fba7235</t>
  </si>
  <si>
    <t>2026-07-18T13:54:26+00:00</t>
  </si>
  <si>
    <t>Amal Abu Hamad</t>
  </si>
  <si>
    <t>dc212651-b463-4d4f-952d-b415835cbd4b.webm (10.34 MB)</t>
  </si>
  <si>
    <t>9340241a-47f7-4173-9849-cad87e9964dd</t>
  </si>
  <si>
    <t>2026-07-18T12:26:36+00:00</t>
  </si>
  <si>
    <t>NIDAL ABUSWEIREH</t>
  </si>
  <si>
    <t>32acdea5-9116-4b90-b005-33e86d622bbe.webm (14.45 MB)</t>
  </si>
  <si>
    <t>e5257c27-4221-408d-a2b0-10ba495881a6</t>
  </si>
  <si>
    <t>2026-07-18T11:41:05+00:00</t>
  </si>
  <si>
    <t>Fahmida Alam</t>
  </si>
  <si>
    <t>YPDS-JKT-26-F65</t>
  </si>
  <si>
    <t>4bf701f9-8e93-47d0-903f-6ee5eded9ceb.webm (15.09 MB)</t>
  </si>
  <si>
    <t>d2449818-e5c5-4726-a232-7025145096c9</t>
  </si>
  <si>
    <t>2026-07-18T11:11:32+00:00</t>
  </si>
  <si>
    <t>Szabolcs Subert</t>
  </si>
  <si>
    <t>ypdscscd50</t>
  </si>
  <si>
    <t>d65114d0-246d-46c8-bb05-09b52f6420ec.mp4 (216.39 MB)</t>
  </si>
  <si>
    <t>dc19cb1a-23fe-4278-b4ec-b5ed4f221a1b</t>
  </si>
  <si>
    <t>2026-07-18T07:54:54+00:00</t>
  </si>
  <si>
    <t>Asliddin Norsamadov</t>
  </si>
  <si>
    <t>YPDS-JKT-26-F94</t>
  </si>
  <si>
    <t>78c67332-0bd2-484b-97c6-cd08144af218.mov (19.21 MB)</t>
  </si>
  <si>
    <t>342a5464-cbd9-44ef-90f3-36bc9a512674</t>
  </si>
  <si>
    <t>2026-07-18T06:55:24+00:00</t>
  </si>
  <si>
    <t>zakaria Abdi rachid Abdi</t>
  </si>
  <si>
    <t>YPDS-JKT-26-F89</t>
  </si>
  <si>
    <t>740a46ba-2bd7-4a6c-a910-f00847573001.mov (10.95 MB)</t>
  </si>
  <si>
    <t>08b225f1-92c5-4126-95d9-13b77dc5bef5</t>
  </si>
  <si>
    <t>2026-07-18T03:53:13+00:00</t>
  </si>
  <si>
    <t>Syed Tufail Shah</t>
  </si>
  <si>
    <t>YPDS-JKT-70-F</t>
  </si>
  <si>
    <t>cb2c3964-8c3e-486a-8683-48ca309505ac.mp4 (147.77 MB)</t>
  </si>
  <si>
    <t>188f3974-24a1-47f0-a14f-7541bd4a5b94</t>
  </si>
  <si>
    <t>2026-07-18T03:22:22+00:00</t>
  </si>
  <si>
    <t>ec7a1aa2-acc8-490a-ab92-5cb0e2b23e86.webm (14.87 MB)</t>
  </si>
  <si>
    <t>13e0f485-9566-4d9b-a0bc-03a01946bff2</t>
  </si>
  <si>
    <t>2026-07-18T00:19:45+00:00</t>
  </si>
  <si>
    <t>Megande Ashbelle Hounhouedo</t>
  </si>
  <si>
    <t>ypdscscd53</t>
  </si>
  <si>
    <t>cf2527ec-2d8b-4388-9674-442e494309b1.webm (15.13 MB)</t>
  </si>
  <si>
    <t>6c52ec0c-c038-427d-906d-9fffd5533655</t>
  </si>
  <si>
    <t>2026-07-17T23:56:07+00:00</t>
  </si>
  <si>
    <t>Theint​ Thinzar​  Thaw</t>
  </si>
  <si>
    <t>YPDS-JKT-F152</t>
  </si>
  <si>
    <t>e5ab59d0-c2c2-44de-b667-19a31fae9aa3.mp4 (207.93 MB)</t>
  </si>
  <si>
    <t>id</t>
  </si>
  <si>
    <t>Evaluation_name</t>
  </si>
  <si>
    <t>All_application_name</t>
  </si>
  <si>
    <t/>
  </si>
  <si>
    <t>Evaluation Status</t>
  </si>
  <si>
    <t>Date Submitted</t>
  </si>
  <si>
    <t>Name</t>
  </si>
  <si>
    <t>Full Name</t>
  </si>
  <si>
    <t>Email</t>
  </si>
  <si>
    <t>Alternate Email</t>
  </si>
  <si>
    <t>Address</t>
  </si>
  <si>
    <t>Nationality</t>
  </si>
  <si>
    <t>Phone</t>
  </si>
  <si>
    <t>Date of Birth</t>
  </si>
  <si>
    <t>Passport ID</t>
  </si>
  <si>
    <t>Emergency Contact</t>
  </si>
  <si>
    <t>Linkedin</t>
  </si>
  <si>
    <t>Instagram</t>
  </si>
  <si>
    <t>Facebook</t>
  </si>
  <si>
    <t>Attach Passport</t>
  </si>
  <si>
    <t>Profile Picture</t>
  </si>
  <si>
    <t>Education</t>
  </si>
  <si>
    <t>Degree</t>
  </si>
  <si>
    <t>Specialization</t>
  </si>
  <si>
    <t>University name</t>
  </si>
  <si>
    <t>Are you enrolled to this program today?</t>
  </si>
  <si>
    <t>Country of Education</t>
  </si>
  <si>
    <t>Have you attended any exchange program abroad?</t>
  </si>
  <si>
    <t>If yes, which university?</t>
  </si>
  <si>
    <t>Are you familiar with academic research? (Optional) </t>
  </si>
  <si>
    <t>Have you volunteered for any social organization? If yes, mention its name.</t>
  </si>
  <si>
    <t>Website of organization</t>
  </si>
  <si>
    <t>Your role in organization?</t>
  </si>
  <si>
    <t>Years of experience</t>
  </si>
  <si>
    <t>Are you full time employed?</t>
  </si>
  <si>
    <t>If yes, what are your roles?</t>
  </si>
  <si>
    <t>Have you founded any youth organization?</t>
  </si>
  <si>
    <t>If yes, what's the aim of organization?</t>
  </si>
  <si>
    <t>What's your skillset?</t>
  </si>
  <si>
    <t>Attach your CV</t>
  </si>
  <si>
    <t>Have you ever thought of changing the world? If yes, what actions did you take in your personal capacity to make an impact? (100 words)</t>
  </si>
  <si>
    <t>What do you think is diplomatically significant country of the world? (100 words)</t>
  </si>
  <si>
    <t>What is youth's role in diplomacy? How do you relate to the idea of Public Diplomacy (200 words)</t>
  </si>
  <si>
    <t>What is passion? how it helps you achieve your goals? (150 words)</t>
  </si>
  <si>
    <t>Are you a creative person? how can you turn into an effective public diplomacy strategy, (200 words)</t>
  </si>
  <si>
    <t>Are you interested in our future internship programs?</t>
  </si>
  <si>
    <t>Would you like to be a part of our Cultural Diplomacy Incubation Centers?</t>
  </si>
  <si>
    <t>Our Institute for Strategy and Cultural Diplomacy offers scholarship courses online, would you like to enroll in our future programs?</t>
  </si>
  <si>
    <t>Where did you hear about us?</t>
  </si>
  <si>
    <t>Which program module interests you the most?</t>
  </si>
  <si>
    <t>Agree</t>
  </si>
  <si>
    <t>Application Fee (Administrative and Assessment- Non Refundable)</t>
  </si>
  <si>
    <t>Eval Match Flag</t>
  </si>
  <si>
    <t>Submitted</t>
  </si>
  <si>
    <t>Maroua Bensfia Khiyat</t>
  </si>
  <si>
    <t>brillanteestrella010@gmail.com</t>
  </si>
  <si>
    <t>Hondon de los frailes n16, albatera, Spain</t>
  </si>
  <si>
    <t>spanish</t>
  </si>
  <si>
    <t>+34610815727</t>
  </si>
  <si>
    <t>PAT110500</t>
  </si>
  <si>
    <t>+34 631 41 63 57</t>
  </si>
  <si>
    <t>www.linkedin.com/in/maroua-bensfia-khiyat-b4a092374</t>
  </si>
  <si>
    <t>_maaroouaa_</t>
  </si>
  <si>
    <t>passport.png</t>
  </si>
  <si>
    <t>foto (1).jpg</t>
  </si>
  <si>
    <t>High school diploma</t>
  </si>
  <si>
    <t>no</t>
  </si>
  <si>
    <t>Interior design</t>
  </si>
  <si>
    <t>Escuela  superior de arte y diseño de orihuela</t>
  </si>
  <si>
    <t>Yes</t>
  </si>
  <si>
    <t>Spain</t>
  </si>
  <si>
    <t>No</t>
  </si>
  <si>
    <t>yes: Spangirls world :https://spangirlsworld.netlify.app/</t>
  </si>
  <si>
    <t>Spangirls World aims to provide free Spanish education for women worldwide, promote intercultural understanding, and create an inclusive online community where women can learn, connect, and support one another regardless of their financial background.</t>
  </si>
  <si>
    <t>My skill set includes project management, community building, content creation, digital communication, event organization, and social media management. I enjoy developing creative initiatives that bring people together, coordinating educational activities, and creating engaging online experiences. Through Spangirls World, I have strengthened my leadership, teamwork, cross-cultural communication, and problem-solving skills while managing an international community dedicated to learning and cultural exchange.</t>
  </si>
  <si>
    <t>maroua_bensfia_khiyat_cv.pdf</t>
  </si>
  <si>
    <t>Yes. I believe that meaningful change often starts with small actions. That is why I founded Spangirls World, a free online initiative that helps women from around the world learn Spanish regardless of their financial situation. Beyond language learning, the project creates a welcoming community where participants can build confidence, connect across cultures, and support one another. By removing financial barriers to education and encouraging intercultural understanding, I hope to make learning more accessible and inclusive. This experience has shown me that even a small community can create a positive and lasting impact in people's lives.</t>
  </si>
  <si>
    <t>I believe that no single country can solve today's global challenges alone. However, I consider the United States to be one of the most diplomatically significant countries because of its influence on international organizations, education, innovation, and global policymaking. At the same time, diplomacy should be based on cooperation rather than competition. Every country has unique perspectives and strengths that contribute to addressing issues such as education, human rights, climate change, and sustainable development. Effective diplomacy is built through dialogue, mutual respect, and partnerships that create positive outcomes for people around the world.</t>
  </si>
  <si>
    <t>Young people play a vital role in diplomacy because they bring new ideas, creativity, and a global perspective. Thanks to digital communication, youth can connect across borders, exchange cultures, and promote understanding in ways that were not possible before. Public diplomacy is not only carried out by governments; individuals, communities, and young leaders also shape how countries and cultures are perceived through education, dialogue, and collaboration.
I relate to this idea through my project, Spangirls World. By offering free online Spanish classes for women from different countries, I have seen how language can create meaningful connections between people from diverse backgrounds. Beyond learning Spanish, participants share experiences, develop friendships, and gain a greater appreciation for different cultures. These exchanges help reduce stereotypes and encourage empathy and respect.
I believe public diplomacy begins with people. Small initiatives that promote inclusion, education, and intercultural dialogue can strengthen international understanding just as much as formal diplomatic efforts. In the future, I hope to continue creating projects that connect people across cultures and demonstrate how education and community building can contribute to more peaceful and cooperative international relationships.</t>
  </si>
  <si>
    <t>To me, passion is the motivation that keeps a person moving forward despite challenges and uncertainty. It gives purpose to everyday actions and inspires continuous learning and personal growth. Passion is not only about having an idea; it is about turning that idea into meaningful action.
My passion is creating opportunities for people to learn, connect, and grow together. This inspired me to establish Spangirls World, where I work to make Spanish education more accessible while building an inclusive international community. The experience has taught me resilience, leadership, and the importance of consistency. Every challenge has become an opportunity to improve the project and better serve the community.
I believe passion is essential for achieving long-term goals because it provides the determination to overcome obstacles and continue creating positive impact, even when progress takes time.</t>
  </si>
  <si>
    <t>Yes, I consider myself a creative person because I enjoy developing ideas that bring people together and create meaningful experiences. Creativity is not limited to art; it is also about finding innovative ways to solve problems and connect with others.
In public diplomacy, creativity can make international dialogue more engaging and accessible. Digital platforms, educational initiatives, cultural exchanges, storytelling, and community-based projects allow people from different backgrounds to understand one another beyond stereotypes. Through Spangirls World, I have experienced how language learning combined with a welcoming online community can strengthen intercultural understanding and build lasting relationships.
I believe creative public diplomacy focuses on people rather than politics. By using education, communication, and digital tools in innovative ways, young leaders can promote trust, respect, and cooperation across cultures, helping to create a more inclusive and connected world.</t>
  </si>
  <si>
    <t>Arts, Culture &amp; Soft Power</t>
  </si>
  <si>
    <t>google</t>
  </si>
  <si>
    <t>Intercultural Communication and Public Diplomacy</t>
  </si>
  <si>
    <t>katsiaryna.zhukovich@intego-group.com</t>
  </si>
  <si>
    <t>Chmielna 73C, Warsaw, Poland</t>
  </si>
  <si>
    <t>Belarussian</t>
  </si>
  <si>
    <t>+48516369913</t>
  </si>
  <si>
    <t>AB4015268</t>
  </si>
  <si>
    <t>+375297233553</t>
  </si>
  <si>
    <t>https://www.linkedin.com/in/katsiaryna-zhukovich/</t>
  </si>
  <si>
    <t>Passport_Katsiaryna Zhukovich.heic</t>
  </si>
  <si>
    <t>IMG_8897.JPG</t>
  </si>
  <si>
    <t>MA</t>
  </si>
  <si>
    <t>Masters in Arts</t>
  </si>
  <si>
    <t>International relations and intercultural communication</t>
  </si>
  <si>
    <t>University of Lodz</t>
  </si>
  <si>
    <t>Poland</t>
  </si>
  <si>
    <t>Belarus, Slovakia, Slovenia</t>
  </si>
  <si>
    <t>AIESEC</t>
  </si>
  <si>
    <t>https://aiesec.org</t>
  </si>
  <si>
    <t>I was involved in the establishment of a AIESEC community service organization in Minsk, Belarus aimed at promoting volunteerism among students and young professionals. Encouraging to broaden cultural understanding and be less stereotyped and biased. I went to Azerbaijan with AIESEC as volunteer to lead by example and teach English to kids and adults.</t>
  </si>
  <si>
    <t>3</t>
  </si>
  <si>
    <t>Human Resources manager, Facilitator, International keynote speaker</t>
  </si>
  <si>
    <t>Cultural Exchange Facilitation,Public Speaking,Team Collaboration,Creative Problem-Solving,Event Planning,Intercultural Communication consultant</t>
  </si>
  <si>
    <t>CV - KATSIARYNA ZHUKOVICH -2026.pdf</t>
  </si>
  <si>
    <t>I am taking an action to slowly change the world. I've partnered with Indonesia's Ministry of Education. We created an education mentorship program. It connected young adults to professionals. It linked them to local businesses. This empowered them. It helped them find their path. As an HR professional, I focus on career mapping. I upskill younger colleagues. I want to ensure that young people are not only employable but also adaptable and ready to contribute to startups and social enterprises across regions. My experience in designing people-focused programs for diverse teams has laid a strong foundation for this work, and I am committed to enhancing these competencies through structured training, coaching, and mentoring.This is direct action for future readiness. I hope I can contribute to building resilient, diverse organizations that drive sustainable economic growth. I aim to reach a broader audience and make a more significant impact.</t>
  </si>
  <si>
    <t>In my view, Ukraine is a diplomatically significant country today. Its ongoing conflict with Russia has reshaped global geopolitics, drawing attention to issues of sovereignty and territorial integrity. Ukraine's struggle has united many nations, highlighting the importance of collective security and international cooperation. As I managed multinational teams during this crisis, I witnessed in my work environment how deeply these tensions impacted relationships and trust among colleagues. Navigating these challenges required sensitivity and diplomacy, underscoring Ukraine's role in shaping discussions around conflict resolution and peacebuilding on the global stage. Its situation serves as a critical reminder of the complexities of international relations.</t>
  </si>
  <si>
    <t>In my experience, engaging with diverse groups has shown me how youth can bridge gaps. We possess the energy and passion to advocate for important issues like climate change, human rights, and social justice that quite oftenly ignored by older generations of diplomats. As young people, we are often more open to dialogue and collaboration. By participating in discussions and initiatives, we can influence policy and promote peace. Public diplomacy emphasizes the importance of communication and relationship-building across borders.Through social media we connect with others on shared values. That allows us to challenge stereotypes and foster empathy.
Public diplomacy emphasizes the importance of soft power using cultural exchange and dialogue to influence others.
In my daily life I manage complex human-related projects, mediate conflicts, building trust across differences. This is public diplomacy on a smaller scale.</t>
  </si>
  <si>
    <t>My greatest passion is observing and understanding humans. I believe that people are at the heart of every organization and community. Participating in diverse initiatives, from establishing community service organizations to collaborating with governmental bodies, has strengthened my belief that meaningful change begins with understanding and connecting people from different backgrounds. These experiences have fueled my passion for promoting cross-cultural collaboration, civic engagement, and youth empowerment. 
As an HR Advisor, my motto is "to see humans in human resources." This means I focus on recognizing each person's unique qualities, talents, and needs. I've worked across multiple countries and cultures, which has strengthened my ability to connect with diverse individuals. My passion helps me create inclusive environments where everyone feels valued. It also drives me to listen carefully and understand different perspectives. This approach has helped me lead successful HR initiatives, promote cultural intelligence, and engage youth effectively. I believe that truly seeing and appreciating people is key to achieving meaningful and sustainable outcomes. My passion inspires me to keep learning about human behavior and to foster collaboration across borders, making a positive impact wherever I go.</t>
  </si>
  <si>
    <t>I would like to believe that I am a creative person. I use my HR experience globally. I've worked in 8  countries. I see cultures connect. I see them sometimes clash. My creativity lies in finding common ground. It's in building understanding. Public diplomacy is all about connection. It’s about influencing audiences. It's about building positive relationships abroad. My experience directly applies here.
I  see myself as a bridge between cultures, eager to learn, share, and grow. I am also passionate about sharing my knowledge and experiences with others. I am using my previous experience in conducting cross-cultural communication webinars as speaker and working on a book titled "National Happiness Secrets". My goal is to create shared meaning. To foster mutual respect. This is the heart of public diplomacy. Happiness is universal, but how we find it is cultural.</t>
  </si>
  <si>
    <t>Scholarship portal in Telegram</t>
  </si>
  <si>
    <t>Soft, Smart, and Hard Power + Strategic Communication</t>
  </si>
  <si>
    <t>eshan.hzb@gmail.com</t>
  </si>
  <si>
    <t>FL. NO. 9D, OAK FOREST APARTMENT, NEAR ISM CHOWK ARGORA, RANCHI, India</t>
  </si>
  <si>
    <t>Indian</t>
  </si>
  <si>
    <t>+918698437843</t>
  </si>
  <si>
    <t>U8280896</t>
  </si>
  <si>
    <t>+919431140735</t>
  </si>
  <si>
    <t>https://www.linkedin.com/in/eshan-  jaipuriar-05490398/</t>
  </si>
  <si>
    <t>Passport_Eshan Jaipuriar_051835.pdf</t>
  </si>
  <si>
    <t>personal_photo_1762368209.jpg</t>
  </si>
  <si>
    <t>Master of Laws in Corporate and Financial Laws</t>
  </si>
  <si>
    <t>LL.M.</t>
  </si>
  <si>
    <t>Corporate and Financial Laws</t>
  </si>
  <si>
    <t>O.P. Jindal Global University</t>
  </si>
  <si>
    <t>India</t>
  </si>
  <si>
    <t>Leiden University, The Hague</t>
  </si>
  <si>
    <t>Jan Shikshan Sansthan, Ministry of Skill Development</t>
  </si>
  <si>
    <t>Legal Aawarness Assocate</t>
  </si>
  <si>
    <t>1</t>
  </si>
  <si>
    <t>Legal Consultant (Grade-1), International Financial Services Centres Authority</t>
  </si>
  <si>
    <t>Lawyers with experienene in Government Sector</t>
  </si>
  <si>
    <t>Eshan Jaipuriar_ Resume_2026.pdf</t>
  </si>
  <si>
    <t>Being brought up in a small town in eastern India, I have seen firsthand, the impact that law and public policy have on the masses. Growing up I saw how access to credit has been a problem for small businesses owners and in few instances where credit was available, the interest rates were quite high, leading to fear of bankruptcy.Bankruptcy in smaller towns in India is "stigmatized" rather than being seen as genuine business failure, which is part of any creative venture. Through my work in India's insolvency ecosystem, I have advocated for strengthening personal insolvency and expanding access to dignified debt resolution for individuals and small businesses. My research argues that entrepreneurs should not be permanently burdened by business failure but should receive an honourable legal exit that enables them to rebuild and innovate again. By contributing to policy discussions, publishing research, and supporting reforms that reduce information asymmetry and improve insolvency frameworks, I hope to foster an entrepreneurial ecosystem where failure is treated as a stepping stone, not a life sentence.</t>
  </si>
  <si>
    <t>India is one of the most diplomatically significant countries in today's geopolitical landscape. It uniquely maintains strategic partnerships across both the East and the West, enabling it to act as a credible bridge in an increasingly fragmented world. Backed by a young demographic, technological innovation, and its emergence as the world's third-largest economy, India's global influence continues to expand, be it through the International Financial Services Centres Authority (IFSCA) which regulates as GIFT City to position it alongside leading financial centres such as DIFC and ADGM. India's regulatory and economic rise increasingly shapes global finance and diplomacy.</t>
  </si>
  <si>
    <t>Youth are not merely future leaders of diplomacy they are its present-day innovators, capable of shaping international cooperation through ideas, technology, entrepreneurship, and policy. In an interconnected world, diplomacy extends beyond governments to include academics, professionals, civil society, and young changemakers who build trust across borders and address shared global challenges.
I relate strongly to the idea of public diplomacy because my work lies at the intersection of law, finance, and international cooperation. At the International Financial Services Centres Authority (IFSCA), I contribute to developing regulatory frameworks that position GIFT City as a globally competitive financial centre alongside jurisdictions such as DIFC and ADGM. Effective regulation is itself a form of public diplomacy, reflecting a country's commitment to transparency, innovation, and investor confidence.
My work in insolvency law has further reinforced that sound legal institutions create opportunities for economic resilience and cross-border collaboration. Through my research advocating stronger personal insolvency frameworks, I have argued that entrepreneurs deserve an honourable exit from financial distress, enabling innovation and sustainable growth. I believe youth can strengthen diplomacy by combining professional expertise with empathy, fostering dialogue, and advancing policies that create inclusive economic opportunities while enhancing their country's credibility and influence on the global stage.</t>
  </si>
  <si>
    <t>To me, passion is the ability to remain committed to a purpose even when the outcome is uncertain. It is not a momentary emotion but a sustained drive to learn, improve, and create meaningful impact. My passion lies in using law and public policy to strengthen financial systems that promote entrepreneurship and economic resilience.
This passion has shaped my journey from specialising in insolvency law and publishing research on improving India's credit ecosystem to contributing to financial sector regulation at the International Financial Services Centres Authority (IFSCA). It has motivated me to pursue opportunities beyond my immediate responsibilities, including international training in arbitration and continuous learning in global financial regulation.
Passion gives direction to ambition. It enables me to persevere through setbacks, embrace new challenges, and remain focused on long-term goals. I believe that consistent effort, guided by purpose, is what ultimately transforms aspirations into meaningful and lasting contributions.</t>
  </si>
  <si>
    <t>I consider myself a creative person,  because I enjoy finding innovative solutions to complex public policy and legal challenges. Creativity, to me, means connecting ideas across disciplines and designing practical solutions that create long-term impact. My research on expanding personal insolvency frameworks to provide an honourable exit for entrepreneurs reflects this mindset by reimagining legal systems to encourage innovation rather than penalise failure.
In public diplomacy, creativity is essential for making a country's values, achievements, and aspirations relatable to global audiences. Rather than relying solely on official narratives, effective public diplomacy should showcase real stories of innovation, entrepreneurship, culture, and institutional excellence. India's emergence as a global technology hub, its digital public infrastructure, and the rise of GIFT City as an international financial centre are compelling examples that can strengthen India's global image.
Drawing from my experience at the International Financial Services Centres Authority (IFSCA), I believe policy itself can be a tool of diplomacy. Transparent regulation, investor confidence, and international collaboration enhance a nation's credibility. By combining creative communication with evidence-based policymaking, public diplomacy can build trust, foster partnerships, and project a confident, forward-looking image of India to the world.</t>
  </si>
  <si>
    <t>Global Politics, Diplomacy &amp; Identities</t>
  </si>
  <si>
    <t>Nguyen Thanh Truc</t>
  </si>
  <si>
    <t>tommytrucnguyen172@gmail.com</t>
  </si>
  <si>
    <t>Vietnamese</t>
  </si>
  <si>
    <t>0795717865</t>
  </si>
  <si>
    <t>C7510772</t>
  </si>
  <si>
    <t>0938191820</t>
  </si>
  <si>
    <t>https://www.instagram.com/janecore.exe?igsh=Nnl2dDRxdXdvaHlp&amp;utm_source=qr</t>
  </si>
  <si>
    <t>https://www.facebook.com/share/1AVRsreZR7/?mibextid=wwXIfr</t>
  </si>
  <si>
    <t>Passport.JPG</t>
  </si>
  <si>
    <t>CamScanner 29-10-25 12.32.jpg</t>
  </si>
  <si>
    <t>Bachelor</t>
  </si>
  <si>
    <t>International Studies</t>
  </si>
  <si>
    <t>Languages and International Relations</t>
  </si>
  <si>
    <t>RMIT University</t>
  </si>
  <si>
    <t>Vietnam</t>
  </si>
  <si>
    <t>AIESEC Vietnam; RMIT Student Ambassador Team (SAT); International Student Buddy Program (ISS Buddy); Hoa Phuong Do Volunteer Campaign</t>
  </si>
  <si>
    <t>https://www.aiesec.vn</t>
  </si>
  <si>
    <t>Global Volunteer; Public Speaker and MC; International Student Buddy; Summer Ambassador</t>
  </si>
  <si>
    <t>RMIT Chinese Club</t>
  </si>
  <si>
    <t>I founded RMIT Vietnam Chinese Club in order to create an inclusive platform for those who have interest in Chinese language, for cultural exchange, academic development, and career opportunities through workshops, networking, and collaborative learning.</t>
  </si>
  <si>
    <t>Leadership, Youth Advocacy, Public Speaking, Project Management, Cross-cultural Communication, Research, Teamwork</t>
  </si>
  <si>
    <t>CV.pdf</t>
  </si>
  <si>
    <t>I think the world is operating in its own trajectory, and it doesn't necessarily need to be changed. What I actually want to do is to create meaningful impact by solving the global problems that we all face together. I founded the RMIT Vietnam Chinese Club to create opportunities for language learning, intercultural exchange, and leadership development. Beyond campus, I contributed to NIION, a social innovation project that reduces agricultural waste while promoting environmental sustainability. I have also conducted research on Generative AI in public governance and served as a Student Ambassador, advocating for inclusive education and cross-cultural collaboration. These experiences have taught me that meaningful impact is not created by one grand action, but by consistently building solutions that empower people and inspire collective change.</t>
  </si>
  <si>
    <t>To me, the most diplomatically significant country is the one that is willing to listen, not only to world leaders, but also to its citizens, neighboring countries, and young people. My experiences in international programs have taught me that trust is built not by speaking more, but by listening better. Countries that embrace dialogue, encourage cultural exchange, and value different perspectives create trust that extends beyond political agreements. In an era of global challenges, I believe the ability to listen has become a strategic strength to many countries.</t>
  </si>
  <si>
    <t>People often call youth the future of diplomacy, but I believe we are already shaping it. While governments negotiate agreements, young people are already building the trust that allows those agreements to thrive. Every conversation, project, and shared experience becomes an opportunity to strengthen understanding across cultures.
To me, public diplomacy is about creating trust before actually forming agreements. I have learned that diplomacy is often built through ordinary conversations rather than extraordinary events. It begins when people choose to listen, understand, and respect different perspectives. I hope to continue promoting youth mobility, intercultural dialogue, and educational collaboration because I believe people-to-people connections are the strongest foundation of international cooperation.</t>
  </si>
  <si>
    <t>To me, passion is not about how big your title is, but about how persistent you are in pursuing your goals. You can start with something small, but as long as you stay committed to it, your efforts will gradually create meaningful impact. My passion has evolved through founding a student club, conducting research, and participating in international programs. There were times when I questioned whether I should give up because I no longer felt there was a reason to continue. But whenever I looked back on why I started in the first place, I found the motivation to keep going. That passion gives me the resilience to learn continuously, embrace challenges, and stay committed to my long-term goal of creating a positive impact.</t>
  </si>
  <si>
    <t>Yes, I am. To me, creativity is the ability to connect ideas that others often overlook and turn them into practical solutions. I enjoy looking at challenges from different perspectives and asking how existing ideas can work better together. If I had the opportunity to turn that creativity into a public diplomacy strategy, I would start by understanding the real problem instead of assuming I already know the solution. Too often, we focus on creating campaigns without first asking the people affected what they actually need. I believe good public diplomacy should begin with listening, not only to policymakers, but also to citizens, especially young people whose voices are often left out of the conversation. Once people feel heard, meaningful dialogue can begin. I would create more opportunities for individuals from different cultural backgrounds to meet, exchange ideas, and learn from one another through youth exchanges, educational programs, and community initiatives. When people understand each other's stories, trust develops naturally. To me, successful public diplomacy is not about promoting a country's image. It is about building policies and initiatives that people can genuinely relate to. When diplomacy is grounded in real needs, shaped by public voices, and strengthened through multicultural understanding, it creates trust that lasts far beyond any official agreement.</t>
  </si>
  <si>
    <t>Calvin Goh</t>
  </si>
  <si>
    <t>Goh Chen How Calvin</t>
  </si>
  <si>
    <t>31 Boon lay Drive #10-01, #1001, Singapore</t>
  </si>
  <si>
    <t>Singaporeans</t>
  </si>
  <si>
    <t>+6597656297</t>
  </si>
  <si>
    <t>K4883571K</t>
  </si>
  <si>
    <t>https://www.linkedin.com/in/calvingohch/</t>
  </si>
  <si>
    <t>8800e7fe-e996-4405-a5f9-8526b7f31967.jpg</t>
  </si>
  <si>
    <t>1780394264832.png</t>
  </si>
  <si>
    <t>Master’s Degree</t>
  </si>
  <si>
    <t>Global MBA (In Progress)</t>
  </si>
  <si>
    <t>Business Administration, Leadership and Strategy</t>
  </si>
  <si>
    <t>Fudan University</t>
  </si>
  <si>
    <t>China</t>
  </si>
  <si>
    <t>Odyssey Dance Theatre Ltd.; People’s Action Party (Volunteer); JurongHealth Fund (Community Supporter)</t>
  </si>
  <si>
    <t>Director, Calvin Communications Pte. Ltd.; Associate Director, Odyssey Dance Theatre Ltd.; English Educator and Strategic Communication Consultant</t>
  </si>
  <si>
    <t>What’s your skillset?  Strategic Communication, Public Speaking, Leadership, Education, Stakeholder Engagement, Project Management, Cross Cultural Communication, Community Development, Training and Facilitation, Organisational Development</t>
  </si>
  <si>
    <t>Calvin_Goh_Full_CV_Final.pdf</t>
  </si>
  <si>
    <t>Yes. I believe meaningful change begins by serving the people around us. As an English educator, I have spent more than a decade helping students from diverse backgrounds gain confidence, improve communication skills, and unlock educational opportunities. Beyond teaching, I contribute to community initiatives through volunteer service and arts education, while supporting organisations that strengthen social cohesion. I also founded Calvin Communications to provide education and communication solutions that create long term value. These experiences have shown me that sustainable impact is built through consistent service, leadership, and empowering others to reach their potential.</t>
  </si>
  <si>
    <t>I believe Singapore is one of the most diplomatically significant countries despite its small size. It demonstrates how neutrality, trust, and effective governance can enable constructive dialogue between countries with different interests. Singapore actively promotes international cooperation through ASEAN, the United Nations, and global economic partnerships while maintaining strong relationships with major powers. Its multicultural society also reflects the importance of mutual respect and peaceful coexistence. As a Singaporean, I have witnessed how diplomacy, openness, and practical collaboration contribute to stability, economic development, and regional peace. These values continue to shape my own approach to leadership.</t>
  </si>
  <si>
    <t>Young people play an important role in diplomacy because they bring fresh perspectives, adaptability, and a willingness to collaborate across cultures. Public diplomacy extends beyond governments. It is also about building understanding through education, cultural exchange, communication, and meaningful relationships between people.
As an educator and communication professional, I practise public diplomacy by helping individuals communicate effectively across different backgrounds. Through teaching, mentoring, and community engagement, I encourage respect, empathy, and openness to different perspectives. I have also worked with arts organisations that use culture as a bridge to connect communities and promote dialogue.
My academic journey reflects my commitment to international cooperation. Through my studies in luxury management and my Global MBA, I aim to understand how leadership, business, education, and cultural diplomacy can contribute to stronger international partnerships. I believe every interaction represents an opportunity to build trust and mutual respect.
The Young Public Diplomacy Summit would allow me to learn from diverse participants while sharing Singapore’s experiences in multicultural harmony, effective governance, and international cooperation. I hope to develop practical diplomatic skills, expand my global network, and contribute to meaningful collaborations that create positive social impact.</t>
  </si>
  <si>
    <t>Passion is the commitment to continue serving a purpose with dedication, even when progress requires patience and perseverance. It provides direction, motivates continuous learning, and encourages resilience during challenges.
My passion lies in education, leadership, and building meaningful connections across cultures. This passion has motivated me to pursue continuous professional development, establish my own company, volunteer in community initiatives, and seek international learning opportunities. It also inspired me to pursue postgraduate studies to strengthen my ability to contribute at a broader level.
Rather than focusing only on personal success, my passion encourages me to create opportunities for others, share knowledge, and support community development. It reminds me that lasting achievements are built through consistent effort, integrity, and a genuine desire to make a positive contribution.</t>
  </si>
  <si>
    <t>Yes. I view creativity as the ability to communicate ideas in ways that inspire understanding and meaningful action. Creativity is especially valuable in public diplomacy because it helps connect people from different cultures through stories, education, and shared experiences.
My professional experience has shown me that effective communication is not only about presenting information but also about understanding the audience and encouraging dialogue. Through education, community engagement, and organisational leadership, I have developed creative ways to explain complex ideas, facilitate discussions, and encourage collaboration.
If given the opportunity, I would apply creativity by designing educational initiatives, cultural exchange programmes, and communication campaigns that highlight shared values rather than differences. I would also promote digital engagement that encourages respectful conversations between young people from different countries and backgrounds.
As someone from Singapore, I hope to share how multiculturalism, practical cooperation, and mutual respect can strengthen international relationships. I believe creative public diplomacy should focus on building trust, encouraging collaboration, and creating lasting partnerships that contribute to peace and sustainable development.</t>
  </si>
  <si>
    <t>Opportunities Corners</t>
  </si>
  <si>
    <t>Public Diplomacy in the 21st Century, Cultural Diplomacy, and International Leadership</t>
  </si>
  <si>
    <t>kleclair@middlebury.edu</t>
  </si>
  <si>
    <t>29 Slater Ln Berkeley CA 94705, Berkeley, United States</t>
  </si>
  <si>
    <t>American</t>
  </si>
  <si>
    <t>+15107722077</t>
  </si>
  <si>
    <t>676860043</t>
  </si>
  <si>
    <t>+15107722068</t>
  </si>
  <si>
    <t>Screen Shot 2026-04-18 at 2.23.44 PM.png</t>
  </si>
  <si>
    <t>IMG_8298 Small.png</t>
  </si>
  <si>
    <t>High School/Candidate for Bachelors</t>
  </si>
  <si>
    <t>BA</t>
  </si>
  <si>
    <t>Major in International Politics and Economics</t>
  </si>
  <si>
    <t>Middlebury College</t>
  </si>
  <si>
    <t>France</t>
  </si>
  <si>
    <t>Paris 1 Pantheon Sorbonne</t>
  </si>
  <si>
    <t>Middlebury Congressional Church</t>
  </si>
  <si>
    <t>https://www.midducc.org/</t>
  </si>
  <si>
    <t>Waiter/Cook serving dinner</t>
  </si>
  <si>
    <t>Kia LeClair Resume (1).pdf</t>
  </si>
  <si>
    <t>I think about changing the world in two ways. The first, a fantasy world where I speak every language and am able to settle conflicts. The second is reality where I tell myself that if I am able to improve people’s lives over the course of my own then I will have succeeded, even if I accomplish nothing else. I believe language is the most critical tool for building mutual understanding and diplomacy. Because of this I am ecstatic and proud of practicing my non-native languages, hoping one day to use them to change the world for the better.</t>
  </si>
  <si>
    <t>Jordan has been the most diplomatically significant country since the World Wars. With one of the largest refugee populations per capita and severe water scarcity, it has managed to maintain peace in the most conflict prone region in the world. With no real military power it has had to use diplomacy instead of force. That is why Jordan is so diplomatically significant. One single country serves as a buffer between Israel, the Arab World, and the West. Jordan serves as a prime case study of diplomacy in a period where the standards of diplomacy are slipping dearly.</t>
  </si>
  <si>
    <t>The youth who commit themselves to diplomacy with the goal of bettering their planet are set to inherit one of the most challenging periods in this planet's history. Global Warming is reaching a tipping point, literacy rates are falling, extremism is on the rise, and nations are looking inward to protect their own interests. Before the day comes to take an oath representing the interests of their country I hope the youth take a moment to remember why they became diplomats. I hope they remember staring at a map of the world in awe, marveling at how so many nations could exist in harmony. Some bordering each other, some inside of another, others in the middle of the ocean alone, all finding a way to coexist.
I am an avid believer that all men are created equal, I grew up believing diplomats believed that too. As all life should, at its core, Public Diplomacy mimics the principles of kindness. It is a simple idea, but diplomacy is kindness practiced on the global scale. Remember that we are all human, and like diplomats we exist to lessen the suffering through the power bestowed by our existence.</t>
  </si>
  <si>
    <t>Passion is an urge, yet not every urge is passion. Urge comes from impulse. Passion comes from obsession. What separates passion and the urge to do something is that passion will command you. Passion is such a compelling emotion that it changes the course of your behavior in an effort to quell the suffering that exists when you are in absence of what impassions you. 
Passion assures you that you may without apology pursue your goals. As the saying goes "Find a job you enjoy doing and you will never have to work a day in your life.” Passion removes uncertainty, it gives you the privilege of knowing this is what you have to do. Passion can make life easy, it takes your choices away and makes you chase your goals. That is if you are lucky enough to be passionate about them to begin with.</t>
  </si>
  <si>
    <t>I do consider myself a creative person, I believe art is one of humanity’s greatest creations and from it emerged a shared appreciation for genius and creativity. In the opinion of millions across the planet, that genius art sometimes culminates in the ability of one nation's football team to beat another's. Enter the World Cup.
The World Cup, currently taking place across the northernmost nations of North America, has always been a symbol of unity among sports fanatics worldwide. Soccer connects people across every culture with no barrier for entry, people unite because of a ball. 
My club soccer team in college similarly applies that gift of unity soccer gifted us. Using our unity and resources along with many teams at Middlebury, we make and serve dinners for the homeless in the area. A simple actionable solution for capable groups. Genius is celebrated because it is rare. That does not mean creativity has to be complicated. Diplomacy should unite people through common interests to serve those who need help. Creativity channeled into effective public diplomacy strategy is a great path for fostering cultural diffusion. Football is a team sport as should Diplomacy be. We need each other to score.</t>
  </si>
  <si>
    <t>Grand Strategy vs Economic Strategy</t>
  </si>
  <si>
    <t>muneeba2002@gmail.com</t>
  </si>
  <si>
    <t>Metropolis Residency, Jinnah Avenue, Karachi, Pakistan, Near Jinnah Icon Mall, Karachi, Karachi, Pakistan</t>
  </si>
  <si>
    <t>+923332841220</t>
  </si>
  <si>
    <t>AK9200883</t>
  </si>
  <si>
    <t>+923330600316</t>
  </si>
  <si>
    <t>https://www.linkedin.com/in/moneebah/</t>
  </si>
  <si>
    <t>Passport1.pdf</t>
  </si>
  <si>
    <t>Moneebah image.jpg</t>
  </si>
  <si>
    <t>Bachelors</t>
  </si>
  <si>
    <t>Engineering</t>
  </si>
  <si>
    <t>Software Engineering</t>
  </si>
  <si>
    <t>NED University of Engineering and Technology</t>
  </si>
  <si>
    <t>Pakistan</t>
  </si>
  <si>
    <t>Yes I am</t>
  </si>
  <si>
    <t>Yes: Google Developer Group on Campus (NEDUET) and Dar-ul-Sukhun.</t>
  </si>
  <si>
    <t>https://www.linkedin.com/company/dscneduet/</t>
  </si>
  <si>
    <t>Technical Lead (GDG) and Team Lead for Pakistan's first global Top 10 team in the Google Solutions Challenge.</t>
  </si>
  <si>
    <t>2</t>
  </si>
  <si>
    <t>Founder (Self-Employed) I am currently self-employed building my startup.</t>
  </si>
  <si>
    <t>Currently In development / Launching phase</t>
  </si>
  <si>
    <t>To teach technical youth to use the exact resources they currently have to build ventures that scale globally. Inspired by how my own tech journey motivated local university students, the platform focuses on turning local engineering talent into self-sustaining ventures that reach international standards and recognition while directly improving local lives.</t>
  </si>
  <si>
    <t>Tech Venture Building, Cross-Functional Team Leadership, Corporate Client Management, and Strategic Communication.</t>
  </si>
  <si>
    <t>Moneebah CV (AI Global Advocacy).pdf</t>
  </si>
  <si>
    <t>I used to think changing the world meant engineering the perfect solution to a standalone problem, but true impact happens when you empower others to build, creating a self-sustaining chain reaction. My journey started at the neuro-lab, where I utilized generative models to upgrade low-cost eye diagnostic devices for underserved clinics. Later, seeing my cousin completely isolated by a severe gluten allergy drove me to build BYTE for the Google Solutions Challenge. Yet, the real transformation occurred when I hosted massive community workshops; by enabling young creators to execute their own ideas, I realized leadership is about scaling human agency.</t>
  </si>
  <si>
    <t>I think Pakistan holds an undeniable significance today because of how it navigates the modern world order. Geographically, it sits at the literal crossroads where the Middle East, Central Asia, and the Global South meet. Recently, its role has become critical as an active member of the SCO and a key bridge in the MENAP region, balancing complex ties with China, the US, and Iran simultaneously. For me as a founder, I am going all in on diplomacy because Pakistan proves that regional soft power and narrative resilience can command global respect and protect national sovereignty without relying purely on external capital.</t>
  </si>
  <si>
    <t>I think the youth's role in diplomacy starts with a heavy realization: our generation has grown up completely desensitized by structural miscommunication and hostile headlines. To break this cynicism, we must treat trust like oxygen, the invisible, non-negotiable baseline of public diplomacy. At 23, building my own startup, I see that our unique advantage is our capacity to look past short-term noise and focus purely on long-term, human relationships. Public diplomacy is not a macro-level public relations campaign; it is the art of personal advocacy. It requires sitting down with a person, looking past their professional accolades, and engaging directly with their true character. When we stop accepting hostile external narratives and actively own our stories, we can coordinate across borders with unprecedented velocity. This human-centric approach to teamwork creates a massive compound effect; when young builders see that cross-border collaboration actually works, decades of regional distrust instantly collapse. I want to bring this focus to the Jakarta policy labs to show how individual credibility scales into lasting regional cooperation.</t>
  </si>
  <si>
    <t>I think true passion is having an unshakeable "why" that helps you survive any difficult "how." It means tying your identity to a goal that is bigger than your own ego and leaves a lasting system behind. In entrepreneurship, this mental resilience is tested every single day. It is incredibly easy to wake up and execute when things are going perfectly and everyone is cheering you on. But for me, passion is the quiet discipline that keeps you showing up, organizing your team, and building when everything is going wrong and momentum stalls. By focusing my energy on a larger collective goal—like mentoring technical youth to become self-reliant creators, obstacles just become technical problems to solve rather than personal failures. Passion is the deep, internal grit that keeps you grounded, disciplined, and moving forward during the most challenging days of the journey.</t>
  </si>
  <si>
    <t>Yes, I am creative. To me, creativity is the strategic communication of emotion to bring a fragmented group together for a shared purpose. Having hosted podcasts, directed media content, and run graphic design, I know that the best public diplomacy is never just a communication campaign. It is the visible expression of a nation's true character over time. When foreign travelers visit Pakistan, they are consistently shocked by the incredible warmth and hospitality they experience, which completely shatters the negative stereotypes shown on the news. My public diplomacy strategy is about narrative sovereignty, using visual storytelling to tell our own stories instead of letting others define us. Inspired by leaders who used powerful communication to unite people and spark national movements, I focus on the behavioral science of media. Credibility cannot be faked; it grows only when words and actions match perfectly. By sharing our authentic culture through clean, creative execution, we build the genuine baseline trust that is required to create long-lasting international relationships.</t>
  </si>
  <si>
    <t>Google Search</t>
  </si>
  <si>
    <t>mpborgen@gmail.com</t>
  </si>
  <si>
    <t>Thorbeckestraat 8, Delft, Netherlands</t>
  </si>
  <si>
    <t>Dutch</t>
  </si>
  <si>
    <t>+31625574267</t>
  </si>
  <si>
    <t>NM3BB8BD4</t>
  </si>
  <si>
    <t>+31630409882</t>
  </si>
  <si>
    <t>https://www.linkedin.com/in/mats-borgen-325586203/</t>
  </si>
  <si>
    <t>501575_Passpor_page-0001.jpg</t>
  </si>
  <si>
    <t>erasebg-transformed.jpg</t>
  </si>
  <si>
    <t>Bachelor of Science in Physics</t>
  </si>
  <si>
    <t>BSc</t>
  </si>
  <si>
    <t>Leiden University</t>
  </si>
  <si>
    <t>The Netherlands</t>
  </si>
  <si>
    <t>Universitas Indonesia</t>
  </si>
  <si>
    <t>Yes, in social sciences as well as in exact sciences.</t>
  </si>
  <si>
    <t>HartslagNu</t>
  </si>
  <si>
    <t>https://Hartslagnu.nl</t>
  </si>
  <si>
    <t>Citizen responder</t>
  </si>
  <si>
    <t>Physics, Math, English, Presentation Skills, Qualitative Research, Interdisciplinary Collaboration, Academic Writing, Foreign Policy.</t>
  </si>
  <si>
    <t>Resume Mats Borgen 8-3-26 CV new version (1).pdf</t>
  </si>
  <si>
    <t>Yes, but I'd rather measure impact in specific people and problems. So I act on two scales. Locally, I trained in Basic Life Support and registered as a HartslagNu first responder: when someone nearby suffers cardiac arrest, an app alerts me to start CPR within the six minutes that decide survival. Globally, I spent four months in Indonesia researching job insecurity among young informal migrant workers in Jakarta, turning interviews and surveys into policy recommendations we presented to the Dutch Embassy, the Asian Development Bank and UNESCO. Neither changed the world, but both are honest starts.</t>
  </si>
  <si>
    <t>Indonesia, which is fittingly the host of this very summit. Beyond being the world's largest Muslim-majority democracy and ASEAN's cornerstone, what struck me most, having lived there for four months, is its civic culture. Indonesian students shoulder democratic responsibility remarkably: when injustice becomes law, they mobilise. Under President Prabowo, sustained student-led protests have confronted corruption and creeping military overreach in ways I rarely see elsewhere. Comparable resistance to figures like Trump even feels muted by contrast. I suspect a deep nationalism and sense of community drives this. A country whose youth so fiercely guards its young democracy is, to me, profoundly significant diplomatically.</t>
  </si>
  <si>
    <t>To me, youth aren't diplomats-in-waiting; we are already agents of diplomacy. Young people are the most mobile, digitally connected, and border-crossing generation in history. The relationships we build, student to student and peer to peer, often outlast the political cycles that governments answer to. We also bring clear-eyed, interdisciplinary thinking to problems states struggle to solve alone. And, as I saw in Indonesia, young people hold their own leaders accountable, keeping diplomacy honest from the ground up.
This is why public diplomacy resonates with me so strongly. Its premise, that a nation's relationships are built not only government-to-government, but directly with foreign publics, through culture, education, and everyday human contact, describes exactly what I lived. Spending four months studying in Indonesia, learning the language, researching alongside Indonesian peers, and presenting our findings to the Dutch Embassy and international bodies, I felt how a shared project or meal can do more for two countries than any communiqué. Real understanding happens in what Edward Murrow called "the last three feet"; the space between two people. I want to keep working in that space: as a scientist, a collaborator, and a bridge between communities.</t>
  </si>
  <si>
    <t>Passion, to me, isn't a burst of excitement. It's a quiet, durable engine. It's what makes effort feel worthwhile long after novelty fades, turning obstacles into puzzles rather than walls. Passion is how a hard problem becomes something you want to sit with, not escape.
It shapes everything I pursue. My fascination with the "why" and "how" behind physics keeps me working through equations that would otherwise be tedious; curiosity, not obligation, carries me. The same is true of chess, a lifelong passion I've taken far enough to author a training course: years of study I'd never have sustained on discipline alone.
That's how passion helps me reach goals. It turns perseverance from a chore into a by-product of caring deeply. Motivation is unreliable and fades; passion renews itself. When you truly love the process, the distant, difficult goal stops feeling distant. You simply keep going.</t>
  </si>
  <si>
    <t>Yes, though not in the way people usually mean. I'm not a painter or a poet; my creativity is a scientist's and a chess player's. It shows in finding unexpected connections between ideas that don't obviously belong together, and in solving problems within tight constraints. Studying physics alongside an anthropology minor taught me that the most original insights often appear where two disciplines meet, in the space others overlook.
That instinct is, I think, exactly what public diplomacy demands. Its central challenge is connecting people who share no common language, history, or politics, and formal statements rarely manage it. Creativity does. It means reaching people through what they already love, whether culture, sport, science, or play, instead of through official channels.
My own strategy would start there: build exchanges around a shared, apolitical language that lets strangers cooperate before politics enters the room. Chess is one I know well: universal, needing no translation, instantly levelling age and nationality. A collaborative research problem is another. Give two communities something to solve or play together, and understanding tends to follow.
Creativity, for me, is not decoration. It is the craft of designing the small, human bridges that make diplomacy work.</t>
  </si>
  <si>
    <t>Scholarships and youth summits portal.</t>
  </si>
  <si>
    <t>Peace by Peaceful Means</t>
  </si>
  <si>
    <t>BOUSSAHIA Chadha Errahmane</t>
  </si>
  <si>
    <t>boussahiachacha12@gmail.com</t>
  </si>
  <si>
    <t>LOT CHIKH LARABI TEBESSI TEBESSA, TEBESSA, Algeria</t>
  </si>
  <si>
    <t>ALGERIAN</t>
  </si>
  <si>
    <t>+213563480665</t>
  </si>
  <si>
    <t>308034336</t>
  </si>
  <si>
    <t>0563487743</t>
  </si>
  <si>
    <t>https://www.linkedin.com/in/chadha-errahmane-boussahia/</t>
  </si>
  <si>
    <t>https://www.instagram.com/chadha_space/</t>
  </si>
  <si>
    <t>/</t>
  </si>
  <si>
    <t>passport.pdf</t>
  </si>
  <si>
    <t>my pic.png</t>
  </si>
  <si>
    <t>Master's degree</t>
  </si>
  <si>
    <t>Master of Science</t>
  </si>
  <si>
    <t>MARKETING MANAGMENT</t>
  </si>
  <si>
    <t>EHEC Algiers : l’école des hautes études commerciales</t>
  </si>
  <si>
    <t>ALGERIA</t>
  </si>
  <si>
    <t>The Smart2Gather hackathon with essec Tunisia</t>
  </si>
  <si>
    <t>YES</t>
  </si>
  <si>
    <t>aiesec</t>
  </si>
  <si>
    <t>https://www.aiesec.dz/</t>
  </si>
  <si>
    <t>Marketing &amp; Communications Volunteer</t>
  </si>
  <si>
    <t>1ans 1mois</t>
  </si>
  <si>
    <t>Leadership and team collaboration, strategic marketing, public speaking, radio presenting and interviewing, storytelling and writing, cross-cultural communication, multilingual communication (Arabic, English, French, Spanish, and Turkish), entrepreneurship and startup development, project and event management, branding, digital marketing, content creation, stakeholder engagement, community building, business development, research and analytical thinking, negotiation, presentation and facilitation, adaptability, creativity, and problem-solving. I am particularly passionate about using communication, innovation, and entrepreneurship to connect people, inspire collaboration, and create meaningful social impact.</t>
  </si>
  <si>
    <t>boussahiachadhaerrahmane.pdf</t>
  </si>
  <si>
    <t>For me, changing the world has never been about changing everyone else first; it begins with changing ourselves. I often think of the safety instructions on an airplane: when the oxygen masks fall, you're told to put on your own mask before helping others. That simple idea has become my philosophy in life. Every day, I strive to grow into a better person so I can create a greater impact on the people around me. This mindset inspired me, during my final year at university, to develop a startup project that aims to make daily commuting more efficient, accessible, and dignified. I hope to grow this initiative beyond a graduation project and contribute meaningful solutions to my country and, one day, to the world.</t>
  </si>
  <si>
    <t>I believe Rwanda is one of the most diplomatically significant countries today not because of its size or economic power, but because of what it represents. After experiencing one of the darkest chapters in modern history, Rwanda chose reconciliation, institution-building, and regional cooperation over continued division. Its journey reminds us that diplomacy IS NOT only about preventing conflict ! it is also about rebuilding trust, restoring hope, and creating opportunities for future generations. To me, Rwanda proves that a nation's greatest influence comes not from its power, but from its resilience and its commitment to peace, dialogue, and shared progress.</t>
  </si>
  <si>
    <t>I beleive that the most powerful diplomats are not always those sitting at negotiation tables. Sometimes they are the people who make others curious instead of fearful.I have always believed that diplomacy begins long before presidents shake hands or agreements are signed. It begins the moment two people choose curiosity over judgment. Every stereotype disappears when we genuinely try to understand another person's story, and I believe young people are the generation most capable of making that choice.
My role, as I see it, is not simply to represent where I come from, but to become a bridge between people who might never have met otherwise. Every experience I have pursued whether speaking on the radio, interviewing guests, volunteering, organizing events, or developing a startup that aims to improve everyday mobility has been driven by the same question: 
How can we understand one another better?
To me, public diplomacy is not confined to governments or official meetings. It happens every time a young person listens with empathy, challenges prejudice, and creates genuine dialogue across cultures.
Perhaps that is why I chose to learn five languages. Not to collect certificates or impress others, but because I believe every new language is an invitation to see the world through someone else's eyes. And I believe that understanding people in their own language is one of the most powerful forms of diplomacy.</t>
  </si>
  <si>
    <t>I once came across the Japanese concept of ( Ikigai ) the idea that a meaningful life is found where what you love, what you're good at, what the world needs, and what you can contribute come together. Since then, I have stopped seeing passion as a feeling and started seeing it as a direction.
That idea has shaped every decision I make. It is why I never limit myself to one field. Whether studying marketing, finance , exploring philosophy, writing, speaking on the radio, learning new languages, or building a startup to improve daily transportation, I am driven by the same purpose: to keep learning and use what I learn to create meaningful impact.
For me, passion is not the spark that starts the journey it is the quiet force that keeps me moving when the excitement fades. It gives purpose to discipline, resilience to challenges, and meaning to every goal I choose to pursue.</t>
  </si>
  <si>
    <t>The first time I held a microphone, I was four years old. I thought I was simply performing in a children's play. Looking back, I realize I was learning something much bigger: words have the power to bring people together.
That is why I consider myself a creative person. Creativity, to me, is not about creating something that has never existed before. It is about discovering new ways for people to understand one another. I am fascinated by the idea that the same message, when told differently, can replace fear with curiosity, disagreement with dialogue, and strangers with collaborators.
If I had to transform creativity into a public diplomacy strategy, I would focus on storytelling. Long before people trust policies, they trust people. I would create spaces where young people from different cultures share their stories, challenges, and dreams not to prove who is right, but to discover how much they already have in common.
Because I believe diplomacy does not begin when countries start talking. It begins when people start listening. And creativity is what makes them want to.</t>
  </si>
  <si>
    <t>claud ai</t>
  </si>
  <si>
    <t>Youth Innovation &amp; Policy Labs</t>
  </si>
  <si>
    <t>jws12@mail.aub.edu</t>
  </si>
  <si>
    <t>Bliss St., Hamra, Beirut, Lebanon</t>
  </si>
  <si>
    <t>Lebanese</t>
  </si>
  <si>
    <t>+96176087895</t>
  </si>
  <si>
    <t>LR3886360</t>
  </si>
  <si>
    <t>Ahmad Konainah, +96170091733, ahmad.konainah@gmail.com, Friend</t>
  </si>
  <si>
    <t>https://www.linkedin.com/in/jadsandakli</t>
  </si>
  <si>
    <t>https://www.instagram.com/jadsandaklii</t>
  </si>
  <si>
    <t>Jad_Sandakli_Passport.jpg</t>
  </si>
  <si>
    <t>Jad Sandakli.jpg</t>
  </si>
  <si>
    <t>Bachelor of Business Administration (BBA)</t>
  </si>
  <si>
    <t>Marketing</t>
  </si>
  <si>
    <t>American University of Beirut (AUB)</t>
  </si>
  <si>
    <t>Lebanon</t>
  </si>
  <si>
    <t>Yes, I have done a lot of academic research in the past two years as part of my coursework and now working on a piece to publish in a peer-reviewed journal</t>
  </si>
  <si>
    <t>Yes, I volunteered with Le Lycée National, my former school in Beirut, as Committee Chair for the senior graduation committee.</t>
  </si>
  <si>
    <t>https://www.le-lycee-national.edu.lb/</t>
  </si>
  <si>
    <t>Committee Chair, responsible for organizing our senior class graduation activities and leading community fundraising efforts.</t>
  </si>
  <si>
    <t>3 years, including volunteer and leadership positions since 2023 across school, university, and startup environments.</t>
  </si>
  <si>
    <t>Not applicable. I am a full time student completing my BBA in Marketing at the American University of Beirut, and I run two startups, Nerve Media and Pavia, as founder led ventures that are not yet profit generating.</t>
  </si>
  <si>
    <t>Yes. Nerve Media</t>
  </si>
  <si>
    <t>To give youth-led businesses and young founders access to professional marketing support that is usually out of reach when budgets are limited and every client either becomes a long term relationship or a missed chance. Because the businesses we support are almost always started by people our own age, every strategy we build accounts for limited resources, fast pivots, and founders still learning their industry while running it.</t>
  </si>
  <si>
    <t>My skillset integrates digital marketing execution with direct experience leading and working alongside youth. At the Ministry of Youth and Sports, I helped design national campaigns that targeted young people directly, and at Nerve Media, I lead a team built mostly of student creators while supporting youth led startups with strategy and content. On the technical side, I bring campaign management, paid advertising, SEO, and brand positioning, along with video production, photography, and visual storytelling using Adobe Creative Suite and CapCut. I also rely on Google Analytics and KPI tracking to measure real impact rather than guesswork. What ties all of it together is a leadership style built on giving young people real responsibility early, the same way I was given it when I started.</t>
  </si>
  <si>
    <t>Jad_Sandakli_CV.pdf</t>
  </si>
  <si>
    <t>Yes. During a human centered design course at AUB, I chose Lebanon's public transportation system as my project, because I use shared taxis and see how broken it is for ordinary people. I spent weeks interviewing ACTC drivers and passengers, tracking failed routes, lost income, and safety concerns. I turned those conversations into a concrete proposal and presented it to ACTC stakeholders, not just my professor. It did not fix public transportation in Lebanon overnight, but it proved something I still carry with me. Real problems here need someone willing to sit with a driver for an hour and listen.</t>
  </si>
  <si>
    <t>Switzerland. Two centuries of neutrality did not make it irrelevant, it made it the address the world trusts when no one else can host the conversation. Geneva holds the Red Cross headquarters, the site of the original Geneva Conventions, and negotiating tables for conflicts from Iran to Ukraine. Switzerland earned that position through patience, not military strength or economic size, building a reputation for fairness until every side of a conflict agreed it was the one place a deal could get signed. That is public diplomacy at its most effective, earned trust used as leverage instead of force.</t>
  </si>
  <si>
    <t>Youth are not future diplomats waiting for permission to participate. We are already changing how nations communicate, often through platforms and formats that traditional diplomacy has not caught up to yet. At the Ministry of Youth and Sports, I helped translate national initiatives into content that young Lebanese people would actually stop scrolling to read, turning policy language into stories people wanted to share. At OMSAR, I worked on campaigns encouraging citizens to trust and use new digital government services, learning that public diplomacy often starts inside a country before it reaches beyond its borders. Public diplomacy, to me, is the practice of building understanding and trust between people rather than only between governments. Every caption I have written, every campaign I have planned, and every community I have helped grow online has been an exercise in that same skill, translating complex ideas into language people connect with. Youth carry a distinct advantage in the diplomatic space because the same languages, platforms, and cultural references we already use are what younger generations everywhere rely on to form opinions of other nations, institutions, and each other, long before any official statement ever reaches them.</t>
  </si>
  <si>
    <t>Passion is not excitement, it is the refusal to sit still when everything around you says you should. I was born into a war, grew up without my father for years while he worked abroad to support us, and by ninth grade watched a financial collapse, a house damaged by the Beirut explosion, and then a full year locked inside during COVID. None of those things were choices I made. What I did choose was what to do inside them. During lockdown, alone in my room, I learned Photoshop and After Effects on my own and started earning money working with local influencers. When school reopened, I kept building, selling phone cases to classmates while everyone else waited for things to go back to normal. Passion, for me, is choosing to build something small and real every single time life gives you a reason to stop.</t>
  </si>
  <si>
    <t>Yes, but the useful kind of creativity knows when to stop being creative and start reading the data. My first business failed because I chased profit in month one instead of building something people trusted, a mistake most young founders make once. When I built Nerve Media, I flipped that lesson into strategy. Every account we manage gets a real analytics review before a single caption gets written, so the content is built around what an audience already proves it wants, not what looks good on a mood board. That approach is why one client crossed eight hundred thousand organic views in thirty days, and why ten different businesses trusted us with their name instead of hiring an agency twice our size. Public diplomacy works the same way. A country that leads with polished messaging before it understands what its audience actually responds to is guessing. I would apply the exact discipline I use with clients, research before content, evidence before storytelling, to any public diplomacy campaign I am asked to build, because a nation's story deserves the same rigor as a small business trying to survive its first year.</t>
  </si>
  <si>
    <t>Philosophy, Media &amp; Diplomacy in International Relations</t>
  </si>
  <si>
    <t>Scholarship Portal (Opportunities Corners)</t>
  </si>
  <si>
    <t>Strategic Communication: Techniques for effective advocacy, public diplomacy, and media engagement.</t>
  </si>
  <si>
    <t>maryammirzaee063@gmail.com</t>
  </si>
  <si>
    <t>Chittagong, Bangladesh</t>
  </si>
  <si>
    <t>Afghanistan</t>
  </si>
  <si>
    <t>+8801404476779</t>
  </si>
  <si>
    <t>P04343906</t>
  </si>
  <si>
    <t>+93749037720</t>
  </si>
  <si>
    <t>2 001 (1).jpg</t>
  </si>
  <si>
    <t>WhatsApp Image 2026-06-21 at 15.22.14.jpeg</t>
  </si>
  <si>
    <t>Master of Art in Education</t>
  </si>
  <si>
    <t>Master</t>
  </si>
  <si>
    <t>Asian University for Women</t>
  </si>
  <si>
    <t>Bangladesh</t>
  </si>
  <si>
    <t>Amal Foundation, JAAGO Foundation, COA</t>
  </si>
  <si>
    <t>https://amalbangladesh.org/</t>
  </si>
  <si>
    <t>Volunteer</t>
  </si>
  <si>
    <t>Yes, Green Designers Club</t>
  </si>
  <si>
    <t>Yes. I founded Green Designers, a student-led initiative at the Asian University for Women that aims to reduce textile waste, promote sustainability, and empower young women through creativity and entrepreneurship, particularly for those who rely on scholarships. It was selected and supported by the Millennium Fellowship 2024, which helped strengthen and expand the project's social and environmental impact.</t>
  </si>
  <si>
    <t>Research and academic writing, cross-cultural communication, leadership and teamwork, public speaking and presenation</t>
  </si>
  <si>
    <t>resume of Maryam.pdf</t>
  </si>
  <si>
    <t>Yes. I have always thought in creating positive change through small but meaningful actions. In Afghanistan, I worked as a civil activist with the Civil Rights &amp; Investigation Organization for Afghanistan (COA). In Bangladesh, I founded Green Designers, a student-led initiative that promotes sustainable fashion while creating income-generating opportunities for scholarship students. Additionally, during my internship at AUW School, where many students are Rohingya refugees from Myanmar, I observed challenges related to confidence, English proficiency, and technology skills. In response, we proposed the Summer Initiative Lab, offering programs in English Communication, Digital Literacy and AI, and Critical Reading.</t>
  </si>
  <si>
    <t>Diplomacy is not measured by a country's size but by its ability to build trust, foster cooperation, and contribute to global peace. I believe Turkey is one of the world's most diplomatically significant countries because it serves as a bridge between Europe, Asia, and the Middle East. Its efforts in humanitarian assistance, refugee support, and regional dialogue demonstrate the power of diplomacy in addressing complex global challenges. As someone who aspires to work with refugee and displaced children, I admire Turkey's commitment to combining diplomacy with humanitarian action. Its approach gives motivation to promote cooperation, inclusion, and sustainable solutions.</t>
  </si>
  <si>
    <t>I trust that youth play a vital role in diplomacy by turning dialogue into action and ideas into impact. Young people bring fresh perspectives, innovative solutions, and a strong commitment to addressing global challenges. By engaging with diverse communities and cultures, youth can promote understanding, cooperation, and positive change beyond national borders.
I strongly think that meaningful change begins with dialogue and collaboration. Through my work in education, community engagement, refugee advocacy, and sustainability initiatives, I have sought to create positive impact at the grassroots level. As a student at the Asian University for Women, I interact with people from diverse backgrounds and learn the importance of mutual respect and understanding. Like many youth leaders, I believe that addressing complex global challenges requires conversations that transcend borders, differences, and ideologies, and that every individual has the power to contribute to a more inclusive and sustainable future.</t>
  </si>
  <si>
    <t>Passion is my inner motivation that gives purpose to my work and keeps me moving toward my goals despite challenges. My passion is ensuring that refugee and displaced children, especially girls, have access to quality education and the opportunity to build a better future. This passion inspired me to begin researching the barriers these communities face and to seek evidence-based solutions. By meeting researchers, practitioners, and experts from different backgrounds, I hope to expand my knowledge, publish meaningful research, and collect data directly from affected communities to advocate for their educational rights. I also want to participate in international programs to better understand how global policies and ideas are developed and how they can be adapted to local contexts. My passion motivates me to keep learning, build confidence, and connect research with practical action so I can contribute to improving education for refugee and displaced children through international organizations and grassroots initiatives.</t>
  </si>
  <si>
    <t>Yes, I consider myself a creative person because I enjoy finding practical and community-driven solutions to social challenges. For me, creativity is not only about generating new ideas but also about turning them into meaningful action, even if the impact begins on a small scale. This mindset inspired me to establish Green Designers, a sustainability initiative that combines creativity with social impact, and to help develop the Summer Initiative Lab, an educational program designed to strengthen English communication, digital literacy, and critical reading skills among marginalized students.
If given the opportunity, I would apply this creativity to public diplomacy by promoting community-led initiatives that bring people from different cultures together through education, sustainability, and youth engagement. I believe diplomacy should not be limited to governments; it should also be shaped by students, educators, local communities, and civil society. By creating spaces where young people collaborate, share experiences, and develop solutions together, we can build mutual understanding and lasting partnerships. I believe this participatory approach transforms dialogue into action and strengthens public diplomacy by creating real impact at the grassroots level.</t>
  </si>
  <si>
    <t>Strategy, Peace &amp; Cultural Diplomacy</t>
  </si>
  <si>
    <t>Scholarship portal</t>
  </si>
  <si>
    <t>Public Diplomacy in 21st century</t>
  </si>
  <si>
    <t>melayuanda23@gmail.com</t>
  </si>
  <si>
    <t>Reitemakersrijge 13, Groningen, Netherlands</t>
  </si>
  <si>
    <t>+31642953523</t>
  </si>
  <si>
    <t>X2527471</t>
  </si>
  <si>
    <t>+628118118113</t>
  </si>
  <si>
    <t>https://nl.linkedin.com/in/ayuandasekarmelati</t>
  </si>
  <si>
    <t>Passport - Ayuanda Sekar Melati.pdf</t>
  </si>
  <si>
    <t>foto amel.jpg</t>
  </si>
  <si>
    <t>Masters</t>
  </si>
  <si>
    <t>MSc International Relations &amp; International Organizations</t>
  </si>
  <si>
    <t>International Relations &amp; International Organizations</t>
  </si>
  <si>
    <t>University of Groningen</t>
  </si>
  <si>
    <t>Netherlands</t>
  </si>
  <si>
    <t>Yes. As an MSc International Relations student, I am actively engaged in academic research including literature review, policy analysis, and thesis work. I also lead academic studies as Head of Strategic Studies at PPI Groningen, where I coordinate research-based discussions on socio-political and international issues.</t>
  </si>
  <si>
    <t>Yes. Youth in Sustainability – Roundtable on Sustainable Palm Oil (RSPO)</t>
  </si>
  <si>
    <t>https://www.instagram.com/yis.indonesia/?hl=en</t>
  </si>
  <si>
    <t>Communication Officer</t>
  </si>
  <si>
    <t>Public Diplomacy &amp; Strategic Communications, Cross-border Stakeholder Coordination, Partnership Development, Cultural Engagement, Multi-stakeholder Negotiation, Policy-oriented Research, Project Coordination</t>
  </si>
  <si>
    <t>Ayuanda SMS_CV_YPDS.pdf</t>
  </si>
  <si>
    <t>Yes, though I have learned that change rarely comes from grand gestures, it comes from connection. In my work bridging Singapore businesses with Indonesian partners, I kept noticing the same pattern: real human potential blocked by gaps between systems. Rather than waiting for institutions to act, I took initiative helping connect vocational schools with education partners, linking talent to opportunities across borders, and supporting inclusive programmes for those often left out. During the pandemic, I also helped coordinate vaccination access for around 20,000 retail workers. To me, changing the world means noticing where systems fail people, and quietly doing the work to reconnect them.</t>
  </si>
  <si>
    <t>Indonesia. As Southeast Asia's largest economy and the de facto anchor of ASEAN, Indonesia holds a unique diplomatic position non-aligned, bridging major powers while championing the Global South. Its "free and active" foreign policy lets it engage both East and West without being captured by either. With the world's fourth-largest population, a strategic location along vital maritime routes, and growing influence in climate and economic forums, Indonesia is increasingly central to global stability. As an Indonesian, I see my country not as a passive participant but as an emerging bridge-builder in an increasingly multipolar world.</t>
  </si>
  <si>
    <t>Youth are not just the future of diplomacy, they are often its most authentic face today. Traditional diplomacy happens between governments, but public diplomacy happens between people, and young people are uniquely placed to build the cross-cultural trust that formal channels cannot. We connect naturally across border through education, social media, and shared challenges like climate change often before politics enters the room.
I relate to public diplomacy because it describes the kind of work I am drawn to and have touched throughout my career, even without the formal title. At Singapore Business Federation, I helped connect Indonesian students with international education and cultural exchange supporting Mandarin language and scholarship pathways to China, and linking students to internships in Singapore through a 10,000-member education network. These are exactly the people-to-people bridges that public diplomacy is built on. Studying now in the Netherlands, I continue to work at that human layer of cooperation, where relationships matter more than protocols.
To me, youth in public diplomacy means being a translator not just of languages, but of contexts  helping ideas travel across cultures without losing meaning. It is about representing your country authentically while staying genuinely open to others. That is the role I hope to grow into, and why YPDS speaks to me.</t>
  </si>
  <si>
    <t>Passion, to me, is quiet persistence, the willingness to keep working on something long after the initial excitement fades. It is not loud or dramatic; it is the patience to do the unglamorous coordination work, the follow-up, the bridge-building that most people overlook. Throughout my career, my passion has been connecting people and potential across borders, and that steady drive is what turned small observations into real initiatives.
Passion helps me reach my goals because it sustains me through obstacles. When a cross-border programme stalled because of regulatory barriers, it was passion, not obligation  that kept me searching for solutions. It gives me patience for slow progress and resilience when things fail. Most importantly, it makes my work feel meaningful rather than transactional, and that meaning is what lets me keep showing up, keep learning, and keep building toward something larger than myself.</t>
  </si>
  <si>
    <t>Yes, though perhaps not in the conventional sense. My creativity lies in seeing connections others miss looking at two unrelated parties and recognizing how they might solve each other's problems. In strategic communications, I learned that creativity is less about artistic flair and more about reframing: taking something complex and making it understandable, relatable, and actionable for different audiences.
This translates directly into public diplomacy. Its central challenge is that the same message lands differently depending on context  what resonates in Singapore may not land the same way in Jakarta or Amsterdam. My creative strength is adapting how ideas are communicated so they stay authentic yet locally meaningful.
An effective public diplomacy strategy, in my view, moves beyond formal statements toward storytelling and genuine human connection using real stories of cross-border collaboration to build empathy, designing youth-to-youth exchanges that create lasting relationships, and framing shared challenges in ways that invite participation rather than passive listening. Creativity in diplomacy means making people feel something, not just understand something. Having spent years translating ideas across cultural contexts, I believe this human-centered, adaptive creativity is exactly what modern public diplomacy needs.</t>
  </si>
  <si>
    <t>Social Media</t>
  </si>
  <si>
    <t>Public Diplomacy in the 21st Century</t>
  </si>
  <si>
    <t>Fereshteh Sadat Rahimi Haji Abadi</t>
  </si>
  <si>
    <t>rahimifs2023@gmail.com</t>
  </si>
  <si>
    <t>Iranian</t>
  </si>
  <si>
    <t>989306995506+</t>
  </si>
  <si>
    <t>P55843494</t>
  </si>
  <si>
    <t>rahimi_f_s_dr</t>
  </si>
  <si>
    <t>2026-06-11 22.22.10.jpg</t>
  </si>
  <si>
    <t>Screenshot 2026-06-11 at 22.23.22.png</t>
  </si>
  <si>
    <t>PhD candidate</t>
  </si>
  <si>
    <t>North American Studies</t>
  </si>
  <si>
    <t>University of Tehran</t>
  </si>
  <si>
    <t>International Association of Justice Watch (Consultative Status of ECOSOC)</t>
  </si>
  <si>
    <t>Oral presenter for the UN Human Rights Council</t>
  </si>
  <si>
    <t>7</t>
  </si>
  <si>
    <t>I recently established a NGO named Iran-America Bridge</t>
  </si>
  <si>
    <t>for dialogue and solidarity between the two nations</t>
  </si>
  <si>
    <t>Cross-Cultural Communication, Digital Content Creation, Public Speaking, Academic Research, UN Human Rights Activist, Translation</t>
  </si>
  <si>
    <t>-1941717012824645887_212397987023818.pdf</t>
  </si>
  <si>
    <t>Honestly yes, but my idea of changing the world became smaller and more realistic over time. I used to think change needs big movements. Now I believe it starts with one conversation between people who are supposed to be enemies.
That is literally what I do. I built an NGO to connect Iranians and Americans at human level. I started a campaign asking Americans to send condolences to Iranian families. I speak at international forums, I submit statements to the UN. Small things. But I have seen how one honest conversation can shift something in a person permanently. That is enough for me.</t>
  </si>
  <si>
    <t>This is hard to answer without sounding political. But if I am honest — Iran. Not because I am Iranian. Because it is a country that almost every major global conflict somehow passes through. Energy, religion, politics, regional wars, sanctions, cultural misrepresentation. Iran is always in the middle of it whether the world wants it or not.
And yet most people only know Iran from headlines. That gap between the real country and its image is itself a diplomatic problem. I have spent years trying to close that gap from inside. That is probably why I find this question personally meaningful, not just academic.</t>
  </si>
  <si>
    <t>For me passion is not excitement. Excitement fades. Passion is more like something that keeps pulling you back even when you are tired or frustrated or failing.
I realized I was passionate about Iran-US relations not when things were going well but when I kept working on it during the hardest political moments, when there was literally a war threat, when people around me said it was pointless, when I could not see any result. I still could not stop.
That is what passion actually does for your goals. It is not motivation, motivation comes and goes. Passion is more like a direction. When you lose energy or clarity you still know which way to turn.
For me it has meant building an NGO nobody asked me to build, learning things outside my field, working without payment many times. Not because I am disciplined. Because I genuinely cannot imagine doing anything else.</t>
  </si>
  <si>
    <t>Honestly I never liked the word passion much. People use it too easily. But I understand what it means when I look at my own life. I did not plan to build an NGO. I did not plan to start a campaign for Iranian children or go speak at international forums about Iran-America relations. These things happened because I could not stay quiet. Something inside kept pushing me even when it was inconvenient, even when nobody was watching, even when there was no reward.
I think that is what passion really is. Not a feeling you have, but something that has you.
And for goals it helps in a very simple way. When you are passionate you do not need to convince yourself every morning to keep going. The question is never whether to continue. Only how.
That has saved me a lot of time honestly.</t>
  </si>
  <si>
    <t>I think I am creative but not in the artistic sense. My creativity is more about finding unexpected connections between things that seem unrelated.
For example, asking Americans to send condolence messages to Iranian families who lost children. On paper that sounds too simple to work. But it worked because it bypassed every political argument and went straight to something human. Nobody can debate a mother's grief. That campaign was creative not because it was complicated but because it found the one angle that politics cannot block.
That is actually my whole approach to public diplomacy. Governments talk to governments and it usually goes nowhere. But people talk to people and
something shifts. The creative part is figuring out what format, what story, what moment makes that conversation possible.
I use video content, academic research, live discussions with international scholars, NGO programs. Each one is a different creative tool for the same goal — making Iran real to people who only know it as a headline.
I think effective public diplomacy is not about being clever. It is about being honest in a creative way. Finding the human detail that breaks through the noise. That is something I genuinely think about every day.</t>
  </si>
  <si>
    <t>Uchechi Geld Ibewuike</t>
  </si>
  <si>
    <t>ibewuike.uchechi@yahoo.com</t>
  </si>
  <si>
    <t>8138365923</t>
  </si>
  <si>
    <t>A66168976</t>
  </si>
  <si>
    <t>8135626145</t>
  </si>
  <si>
    <t>IMG_0294.jpeg</t>
  </si>
  <si>
    <t>IMG_6676.jpeg</t>
  </si>
  <si>
    <t>Economics and Neuroscience</t>
  </si>
  <si>
    <t>Williams College</t>
  </si>
  <si>
    <t>United States of America</t>
  </si>
  <si>
    <t>Yonsei University</t>
  </si>
  <si>
    <t>Pro-Passion Project</t>
  </si>
  <si>
    <t>https://pro-passionprojects.org</t>
  </si>
  <si>
    <t>1 month</t>
  </si>
  <si>
    <t>Founded a global digital health humanities platform that captures and archives international medical narratives to bridge the gap between healthcare and storytelling- "The Vitals Project- www.vitalsproject.com"
Founded and directed a specialized Pan-African dance initiative at Williams College, designing inclusive, movement-based arts programming tailored for neurodivergent students- "Liquid Gold"</t>
  </si>
  <si>
    <t>Writer, Public speaker, Interviewer, Choreographer, Manager/ Event Planner</t>
  </si>
  <si>
    <t>Uchechi_Ibewuike_Resume__.pdf</t>
  </si>
  <si>
    <t>I created the narrative medicine project “The Vitals Project” after reflecting on my experience as a healthcare worker. There was a lack of space held for sharing my experiences and the toll the job had on me. My job had become figures and numbers rather than patient care. So I created vitals to be that very space and not just for me but for medical providers, students, patients and more on a global scale. Today I am collecting stories on the ground in Ghana as I complete an internship, and continue to reach more people from South Korea and over 30 other countries with my stories.</t>
  </si>
  <si>
    <t>The United States of America leads the world in economic size and military power. Their influence  on global trade regulation and international policies is immense. Additionally the US currency, the dollar, is the world’s main reserve currency where others form a parity to it, giving the US tremendous financial power globally. Additionally the US boasts unique treaties and alliances such as the NATO, indo-pacific accords and other non NATO alliances that none other can match, making it a diplomatically significant country.</t>
  </si>
  <si>
    <t>I believe the youth's role in diplomacy is taking on active roles as policymakers and leaders in the diplomatic space. The youth make up a large part of the global population and can have a direct impact and influence on international relations. We can act as youth delegates serving official delegations at UN summits, or using social media campaigns to mobilize global audiences around human rights or environmental issues in an act of digital diplomacy. The idea of public diplomacy gives a nation the power to write its own narrative to the world, using cultural exchanges, one of which I have participated in over the past year, and various other techniques. An open and transparent diplomacy style is very attractive, especially to the youth. It can help foster cross-cultural understanding and correct misconceptions held around the country. I believe the youth can play a big part in such a space, and I am in support of the idea of Public Diplomacy.</t>
  </si>
  <si>
    <t>A textbook definition would be "a drive and desire for an activity or concept," but to me, it goes beyond that. Passion can very well be the reason one decides to live or not the next day, a passion to live. It could also be the reason why one abandons a stable job to backpack across the world and discover themselves, a passion to explore and grow. To me, passion is a hunger, an insatiable desire for something, anything, and at times it makes no sense to those outside of that perspective. Passion is the first recipe for success, in my opinion. If you dont have a hunger and desire for what you are doing, then when hurdles and obstacles come your way, you may give up, or hide from them. However, when an obstacle comes face-to-face with passion, the only route one can take is to conquer it, and this is often the difference between achieving one's goal and letting a dream die.</t>
  </si>
  <si>
    <t>I am a creative person. As someone who buries her nose in either the sciences of the body or the laws that govern everything around us under economics, the arts are my outlet. I am a singer/songwriter, I've been a part of a band and choirs, and I privately release my own music. I also enjoy sketching, painting, and sculpting, anything to use my hands and create. I enjoy dancing, directing, and event organization. Seeing a creative vision emerge in the physical is a very rewarding experience for me. Most of all, I enjoy sharing all of these with people and collaborating. Turning this into an effective public diplomacy strategy means using my skills and talents to send a non-traditional message to further a country's foreign policy goals to everyday citizens. We could use visual art like interactive murals to bring people together, or organize events and talks, create digital content with foreign influencers, the options are endless. Ultimately, I can use my talents to create a strategy that could reach foreign citizens, youth, families, and ordinary people like myself.</t>
  </si>
  <si>
    <t>maarijshamim73@gmail.com</t>
  </si>
  <si>
    <t>House no. 104/A Cantt Road, Zhob, Pakistan</t>
  </si>
  <si>
    <t>+923318345308</t>
  </si>
  <si>
    <t>LS5166451</t>
  </si>
  <si>
    <t>https://www.linkedin.com/in/maarij-shamim-575214202/</t>
  </si>
  <si>
    <t>https://www.instagram.com/maarijshamim/</t>
  </si>
  <si>
    <t>Passport_Maarij Shamim.pdf</t>
  </si>
  <si>
    <t>Headshot.jpeg</t>
  </si>
  <si>
    <t>Bachelor of Science (B.S.)</t>
  </si>
  <si>
    <t>Electrical Engineering</t>
  </si>
  <si>
    <t>National University of Sciences and Technology (NUST)</t>
  </si>
  <si>
    <t>none</t>
  </si>
  <si>
    <t>Yes, I am experienced in academic research and manuscript preparation. I serve as the corresponding author of a research manuscript titled 'An AI-Supported Sustainability Readiness Framework for Small Satellite Programs in Emerging Nations,' which was submitted to the Space Policy journal.</t>
  </si>
  <si>
    <t>Xylem Water Solutions (Clean Shield Project)</t>
  </si>
  <si>
    <t>https://www.xylem.com/en-us/</t>
  </si>
  <si>
    <t>IoT Systems Developer &amp; Environmental Researcher — designed black carbon monitoring sensors for glacial environments.</t>
  </si>
  <si>
    <t>Autonomous Systems, IoT &amp; Embedded Hardware (ESP32, Arduino, PCB Design), AI/Machine Learning, Python, C/C++, MATLAB, Sensor Fusion, Telemetry Systems, Environmental Data Processing, Technical Research &amp; Writing, Cross-cultural Leadership, Public Speaking</t>
  </si>
  <si>
    <t>Resume.Maarij Shamim.pdf</t>
  </si>
  <si>
    <t>Yes, and I didn't wait to start. Growing up in Pakistan, I watched glaciers retreat and floods displace communities while the world debated climate policy. So I built technology to fight back. I developed IoT sensors to monitor black carbon in glacial environments, winning the Xylem Global Innovation Challenge 2025. I co-developed an IoT-based  smart urban waste management that became a Global Winner at the Climate Hack Challenge in Singapore. I also built AI agents that automate carbon auditing for organizations that can't afford sustainability teams. I published research on satellite sustainability frameworks. Each project was a deliberate act  not a resume line. Changing the world, I've learned, starts with solving one real problem in one real place.</t>
  </si>
  <si>
    <t>I think the United States is still the most important country in diplomacy today.
It's not just because of its military, but because of its unmatched ability to shape global norms, institutions, and narratives. From the UN framework to climate agreements, US engagement or withdrawal sends ripples worldwide. But right now, this influence is being challenged.China's Belt and Road Initiative, the EU's strong regulations, and the growing voice of the Global South are all competing for influence.Real diplomatic power today isn't just about being strong, but about being able to bring different groups together despite their differences.</t>
  </si>
  <si>
    <t>Youth are not the future of diplomacy, we are its present. The urgent challenges we face, like climate change, demand perspectives from the generation that will live with them longest. Public diplomacy is where that engagement happens. Unlike formal statecraft behind closed doors, public diplomacy operates through shared values, cultural exchange, and authentic human connection to build trust between societies. I care deeply about this both as an engineer and as someone who advocates for change.Being chosen as a global delegate for the Rise Young Leaders Summit in Japan showed me that young people's voices matter on the world stage, and it emphasized how important it is to have conversations across borders.Also, working with UNESCO on projects related to media and digital literacy to fight misinformation has strengthened my belief in using international platforms to address issues that address regional vulnerabilities.
As an engineer building AI-enabled climate technology, I know that advanced data means nothing if there is no cross-border trust to implement solutions. Building that trust across cultures, disciplines, and borders, is precisely what public diplomacy achieves. Youth bring an authenticity, technological fluency, and urgency that traditional diplomacy desperately needs. By translating grassroots innovation into global collaborative policy, we turn local resilience into global progress.</t>
  </si>
  <si>
    <t>Passion is not excitement, excitement fades. Passion is what keeps you debugging a sensor circuit at 2am in a city with load shedding, because you know that sensor could protect a glacier that millions depend on. It's the force that converts rejection into redirection.
My passion is creating technology that helps the most climate-affected people in the world. It has pushed me to write research, win competitions, and speak for Pakistan on global platforms not because these things were easy, but because the reason behind them made the hard parts worth it. Passion also helps you focus better. When you really care about something, you stop looking for opportunities by chance and start looking for them on purpose.Every meeting I attend, every paper I write, every system I design is connected to one main goal; using engineering to help weak communities fight climate change.</t>
  </si>
  <si>
    <t>Creativity for me is not about aesthetics; it is about finding unexpected solutions to real problems. When I developed a black carbon monitoring system for Pakistan's glaciers, the creative leap wasn't the technology itself. It was realizing that a low-cost IoT sensor network could generate the kind of environmental data that previously only well-funded research institutions could produce. That data becomes a diplomatic tool because it tells Pakistan's climate story with evidence, not just emotion.
The same idea works for public diplomacy too.The best diplomacy efforts now aren’t just about press releases or big meetings.They’re about sharing stories through pictures that show data, short movies, local projects, and working with people from different cultures.These efforts make people feel an emotion first, before they start thinking about it.
My strategy would be to use technology as a storytelling medium. Imagine real-time glacier data displayed publicly in Jakarta, or a collaborative climate dashboard built by youth delegates from ten countries. These aren't just technical projects. They are acts of diplomacy that help people understand global issues in a personal and local way.
Creativity in public diplomacy means making people from different cultures see themselves in the same problem. That is what I do as an engineer, and that is what I would bring to Jakarta.</t>
  </si>
  <si>
    <t>Scholarship Corner website</t>
  </si>
  <si>
    <t>VENUS JANELLE GARCIA SAMONTE</t>
  </si>
  <si>
    <t>venusjanelle.ph@gmail.com</t>
  </si>
  <si>
    <t>1865 Leon Guinto Street, Malate, Manila, Philippines</t>
  </si>
  <si>
    <t>Filipino</t>
  </si>
  <si>
    <t>+639770878284</t>
  </si>
  <si>
    <t>P7040475C</t>
  </si>
  <si>
    <t>Jane Samonte - +639163888619</t>
  </si>
  <si>
    <t>https://www.linkedin.com/in/vgsamonte</t>
  </si>
  <si>
    <t>@vnelia_</t>
  </si>
  <si>
    <t>https://www.facebook.com/vgsamonte</t>
  </si>
  <si>
    <t>Passport_Samonte.png</t>
  </si>
  <si>
    <t>Samonte_ID.png</t>
  </si>
  <si>
    <t>Bachelor's</t>
  </si>
  <si>
    <t>Public Administration</t>
  </si>
  <si>
    <t>University of the Philippines Diliman</t>
  </si>
  <si>
    <t>Philippines</t>
  </si>
  <si>
    <t>Kyung Hee University (2025), Peking University (2024), Osaka University (2021)</t>
  </si>
  <si>
    <t>Yes, I currently work as an international relations researcher.</t>
  </si>
  <si>
    <t>Rotaract Club of Mandaluyong Premier, sponsored by the Rotary Club of Mandaluyong Premier</t>
  </si>
  <si>
    <t>https://www.facebook.com/racmandaluyongpremier</t>
  </si>
  <si>
    <t>International Service Director</t>
  </si>
  <si>
    <t>Researcher, University of the Philippines Korea Research Center; Creative Executive, SUKASENI Malaysia</t>
  </si>
  <si>
    <t>No.</t>
  </si>
  <si>
    <t>I have not founded any organizations yet, but I have led several existing ones already (Secretary-General, Model United Nations - University of the Philippines Diliman: official university team for local and overseas MUN conferences; President, UP Samahan Tungo sa Progresibong Administrasyon [UP Society Towards Progressive Administration]: oldest and largest socio-academic organization of UP National College of Public Administration and Governance aimed to host and spearhead initiatives towards effective governance and leadership; Managing &amp; Layout Editor, Philippine Collegian: the country's most renowned student publication which continuously represents grassroots organizations and members of the common Filipino masses. I am also currently a member of Amnesty International Philippines, World Youth Alliance - Asia Pacific Chapter, and the International Peace Bureau: organizations that all foster proactive efforts towards betterment and meaningful change.</t>
  </si>
  <si>
    <t>Research and coordination: stakeholder engagement, project coordination, conference operations, policy research</t>
  </si>
  <si>
    <t>CV_Samonte, Venus Janelle G..pdf</t>
  </si>
  <si>
    <t>Yes, of course. I challenge systemic challenges of existing gender inequalities and initial perceptions on the youth not being able to make meaningful change given their age through several institutes I had the privilege of taking part of and leading. Most of my projects revolve around fighting against injustices faced by the common Filipino people through skills-building, information sessions, and other relevant dialogues that help them realize that there are present avenues for them to take part in. Many of our people only need the chance to be given such opportunities in order to fairly thrive.</t>
  </si>
  <si>
    <t>It would be both the United States and China. They both thrive economically, are influential with their partner countries, and can easily dictate the fate of the world depending on where their investments would be made on. This puts them on a highly-sensitive position globally; in any given day, they can deliver urgent news to neighboring states for every major move they make.</t>
  </si>
  <si>
    <t>For us members of the Gen Z generation, we are equipped with the privilege of living both in traditional and modern times, as we initially schooled with traditional pen and paper and finished our degrees with new assistive technology. This puts us on the responsibility to aid the rest of the members of our economies towards responsible usage. The easy availability of virtual connections becomes a tool for how countries can further exhibit and employ positive public diplomacy for strengthened bilateral and regional cooperations.</t>
  </si>
  <si>
    <t>Passion is hope. As a Filipino, there were many instances where we had second thoughts about the security of our future and identity, but such insecurities are a test of mind I believe. Over the years, I have come to love my country more, and I remain critical because I still see that we can make it work. All of my love for the Philippines and the ASEAN region shows in my work.</t>
  </si>
  <si>
    <t>Yes, I have been a self-taught graphic designer for a decade, and I write poetically as well. Effective public diplomacy can be done outside the realm of scholars and the academe, even as a researcher myself, through easily palatable information via human-made artistic output. Many of our audiences and stakeholders have grown to learn more about several issues and topics because of packaged designed that are more digestible in layman terms. The purpose of our academic journey is to turn our words into actions anyway, because there is no point in the never ending churning of intelligence if it cannot be disseminated to those who we should be representing in the first place.</t>
  </si>
  <si>
    <t>Invitation by CSCD via email.</t>
  </si>
  <si>
    <t>biiara.zheenalieva.kk@gmail.com</t>
  </si>
  <si>
    <t>Kyrgyz</t>
  </si>
  <si>
    <t>+996779315938</t>
  </si>
  <si>
    <t>AC3779426</t>
  </si>
  <si>
    <t>WhatsApp Image 2026-06-22 at 14.10.45.jpeg</t>
  </si>
  <si>
    <t>5Z4Q7980.jpg.jpeg</t>
  </si>
  <si>
    <t>Master's</t>
  </si>
  <si>
    <t>International Relations</t>
  </si>
  <si>
    <t>Anadolu University</t>
  </si>
  <si>
    <t>Turkey</t>
  </si>
  <si>
    <t>Erasmus+ at Nicolaus Copernicus University in Poland</t>
  </si>
  <si>
    <t>UNDP, National Society of the Red Crescent of Kyrgyzstan.</t>
  </si>
  <si>
    <t>Specialist of the Department of International Cooperation and Protocol at Bishkek Mayor's Office</t>
  </si>
  <si>
    <t>Biiara Zheenalieva CV 2026.pdf</t>
  </si>
  <si>
    <t>I have always believed that changing the world begins with improving the community around us. In my personal and professional life, I strive to connect people, ideas, and institutions to create meaningful change. Through my work at the Bishkek City Hall's International Cooperation Department, I help build partnerships that bring international expertise and opportunities to the city. I also dedicate time to volunteering, youth engagement, and promoting cross-cultural dialogue as I believe mutual understanding is the foundation of sustainable development. Every project I contribute to, no matter how small, is a step toward creating more inclusive, resilient, and connected communities.</t>
  </si>
  <si>
    <t>I believe no single country is the most diplomatically significant as today's global challenges require cooperation rather than dominance. However, I consider Switzerland particularly significant due to its long-standing neutrality, strong tradition of mediation, and role as a host for international organizations and peace negotiations. Its ability to facilitate dialogue between countries with opposing interests demonstrates the true value of diplomacy. At the same time, I recognize that every nation, regardless of its size, has an important role in addressing issues such as climate change, security, migration, and sustainable development. Effective diplomacy is built on collaboration, trust, and mutual respect.</t>
  </si>
  <si>
    <t>Young people play a vital role in diplomacy because they bring new perspectives, adaptability, and a genuine willingness to build connections across cultures. In an increasingly interconnected world, diplomacy is no longer limited to governments but  it also depends on individuals who can foster dialogue, promote mutual understanding, and encourage international cooperation.
My experiences have shaped this belief. Working in the International Cooperation Department of Bishkek City Hall has shown me how international partnerships can improve local communities through knowledge exchange and joint initiatives. Studying abroad through Erasmus+, participating in international youth forums, and collaborating with people from diverse cultural backgrounds have taught me that trust is built through communication, respect, and shared goals rather than political differences. Also, I strongly relate to the idea of public diplomacy as it emphasizes people-to-people connections alongside official relations. Every conversation, cultural exchange, or collaborative project contributes to how countries perceive one another. As a person who speaks several languages and has worked in multicultural environments, I see communication as a powerful diplomatic tool. I aspire to continue serving as a bridge between local communities and international partners, helping transform global cooperation into practical initiatives that create positive and lasting impact for society.</t>
  </si>
  <si>
    <t>To me, passion is the inner drive that motivates me to keep learning, growing, and making a meaningful contribution, even when the path is challenging. It is what transforms goals into consistent action. My passion lies in international cooperation and diplomacy because I believe that dialogue and collaboration can create positive change in people's lives. This passion has encouraged me to pursue opportunities that expanded both my professional and personal perspectives. Working with international partners, studying abroad, volunteering, and engaging in multicultural environments have strengthened my communication skills, resilience, and ability to adapt to different perspectives. Today, in my role at the International Cooperation Department of Bishkek City Hall, I continue turning this passion into practical work by supporting partnerships that benefit local communities. Passion gives me the motivation to improve every day, embrace new challenges, and stay committed to my long-term goal of contributing to stronger international cooperation and sustainable development.</t>
  </si>
  <si>
    <t>I consider myself a creative person because I enjoy finding innovative ways to connect people, ideas, and cultures. In my opinion, creativity is about approaching challenges with an open mind and turning opportunities into meaningful collaboration. Throughout my academic and professional journey, I have worked in multicultural environments where creativity was essential for effective communication. Whether coordinating with international partners, translating ideas across languages, or participating in international exchange programs, I learned that successful diplomacy requires adapting messages to different audiences while respecting cultural differences. My current work at the International Cooperation Department of Bishkek City Hall has reinforced the importance of presenting local initiatives in ways that encourage international partnerships and mutual trust. I believe creativity is a key element of effective public diplomacy. A successful strategy is not only about promoting a country's image but also about creating authentic people-to-people connections. Cultural exchanges, youth engagement, digital storytelling, and collaborative projects can build lasting relationships that traditional diplomacy alone cannot achieve. I would contribute by combining my international experience, communication skills, and understanding of diverse cultures to design initiatives that encourage dialogue, strengthen international cooperation, and showcase Kyrgyzstan as an open and reliable partner.</t>
  </si>
  <si>
    <t>International Public Service Relations</t>
  </si>
  <si>
    <t>Opportunity corners website</t>
  </si>
  <si>
    <t>Hina Shahnaz Javed</t>
  </si>
  <si>
    <t>hina.shahnaz@uni.minerva.edu</t>
  </si>
  <si>
    <t>H# 1977-78, Ahata Sheikh Fazal Elahi, Railway Road, Saddar, Rawalpindi, Pakistan</t>
  </si>
  <si>
    <t>pakistan</t>
  </si>
  <si>
    <t>14157919805</t>
  </si>
  <si>
    <t>JS8679441</t>
  </si>
  <si>
    <t>+923345436077</t>
  </si>
  <si>
    <t>https://www.linkedin.com/in/hinashahnaz/</t>
  </si>
  <si>
    <t>hinaama</t>
  </si>
  <si>
    <t>Passport Photo.pdf</t>
  </si>
  <si>
    <t>Hina Shahnaz _ EM _ Executive.png</t>
  </si>
  <si>
    <t>BSc Computational Science</t>
  </si>
  <si>
    <t>Data Science and Neuro</t>
  </si>
  <si>
    <t>Minerva University</t>
  </si>
  <si>
    <t>United States</t>
  </si>
  <si>
    <t>Yes.</t>
  </si>
  <si>
    <t>AIESEC in Pakistan</t>
  </si>
  <si>
    <t>https://www.aiesecinpakistan.org/</t>
  </si>
  <si>
    <t>TEAM LEAD FOR INCOMING GLOBAL VOLUNTEERS</t>
  </si>
  <si>
    <t>NomadiCanvas</t>
  </si>
  <si>
    <t>It's a student initiative using art-based storytelling to foster community wellbeing and cross-cultural connection. We designed and facilitated 4 workshops, averaging 30+ attendees and managed the end-to-end logistics and community channels across San Francisco.</t>
  </si>
  <si>
    <t>Skilled in public diplomacy, cross-cultural communication, and negotiation, with hands-on experience in research design and ethnographic fieldwork. Strong communicator with a background in public speaking, content creation, and social media strategy. Proficient in Canva, CapCut, Excel, Google Workspace, and Python. Fluent in English, Urdu</t>
  </si>
  <si>
    <t>Hina_Shahnaz_YPDS_Resume.pdf</t>
  </si>
  <si>
    <t>I have often thought about changing the world, and I try to act on it in small, consistent ways. In my gap year after A-Levels, I was inspired to direct a documentary on transgender (Khawaja Sira) communities across the twin cities, researching how they were treated in society. I later used that experience to educate students back at my high school. I stay conscious of my surroundings and speak up for what's right, believing every small step matters. In San Francisco, noticing how consumed people were by AI and social media, I started an art gathering where people put phones away and connected authentically across cultures.</t>
  </si>
  <si>
    <t>Having lived in the United States for a year, I've come to see how significant and complicated its diplomatic influence is. We often idealize Western ideals like American feminism, but living here reveals the country's own unresolved issues. Because the U.S. is powerful and geographically distant from regions like the Middle East, its impact is felt intensely abroad, while its own internal problems, including crime, drugs, and human rights violations, receive far less scrutiny. This contrast makes the U.S. diplomatically significant: it has mastered projecting moral authority outward while deflecting attention from comparable issues at home.</t>
  </si>
  <si>
    <t>I believe the youth's biggest role in diplomacy is awareness; learning to critically filter the media we consume and distinguish credible information from noise. Diplomacy, at its core, is about bridging gaps between nations, cultures, and people who may never directly meet. Public diplomacy, to me, is this awareness in action: understanding global events, recognizing which actors and agencies are shaping them, and using that understanding to build connections rather than division.
I relate to this deeply through my own work. Directing a documentary on marginalized communities in Pakistan taught me that storytelling can carry a sort of diplomatic weight; it builds empathy across boundaries that formal negotiation often can't reach. Leading cross-cultural volunteer teams through AIESEC reinforced that youth are uniquely positioned to engage across borders without the baggage of institutional politics. I see public diplomacy not just as government-to-government dialogue, but as everyday acts: creating spaces for honest conversation, using art and film to humanize distant issues, and staying informed enough to challenge narratives that might oversimplify complex realities.</t>
  </si>
  <si>
    <t>Passion, to me, is the ambition that burns inside you, something that inspires you to never give up, to keep moving forward, keep hustling, and keep looking for ideas, for people, and for conversations where you're truly heard, challenged, and asked for more of your thoughts and contributions. It's this drive that carries you toward your goals, because there is no straight path to what you want, and no fixed direction either.
Passion is like a glowing light in the darkness that keeps you moving forward. As you move, the path might zigzag, but the light never stops burning. It keeps you grounded and steady, even through uncertainty, and it's what ultimately carries you toward your goals. Goals themselves aren't fixed either; they keep reshaping and reiterating as you go through different experiences and interactions along the way.</t>
  </si>
  <si>
    <t>I consider myself a creative person, and I believe creativity is essential to effective public diplomacy; dialogue alone is often too limited a tool. Art and film carry ideas across language and cultural barriers in ways formal conversation cannot. When people connect over something they genuinely love, a film, a piece of art, a shared story, ideas flow more freely, tolerance deepens, and understanding becomes personal rather than abstract.
An effective public diplomacy strategy, to me, reaches people emotionally before it reaches them intellectually, something that resonates on a human level and makes them feel understood, not lectured. This is the principle behind the art gathering I started in San Francisco: stripping away screens and formality so people could connect authentically across cultures. I see creativity as a bridge-building tool in diplomacy; it doesn't just inform people about other cultures; it lets them feel a genuine, cross-border connection to those cultures.</t>
  </si>
  <si>
    <t>Through Hassan Mehr's intagram. I previously worked with him in Lincoln Corners and then i noticed that he's hosting conferences across the world with CSD.</t>
  </si>
  <si>
    <t>MARIAM Dashkina</t>
  </si>
  <si>
    <t>DASHKINA MARIAM</t>
  </si>
  <si>
    <t>dashkinamary@yandex.ru</t>
  </si>
  <si>
    <t>55 Yuliusa Fuchika Street, Kazan, Russian Federation</t>
  </si>
  <si>
    <t>Tatar/ Russian</t>
  </si>
  <si>
    <t>+79960804285</t>
  </si>
  <si>
    <t>66 3454983</t>
  </si>
  <si>
    <t>-</t>
  </si>
  <si>
    <t>_maryam_dashkina_</t>
  </si>
  <si>
    <t>66Nº345498 2.pdf</t>
  </si>
  <si>
    <t>Фото сжато .pdf</t>
  </si>
  <si>
    <t>Student</t>
  </si>
  <si>
    <t>Oriental studies (Chinese and Vietnamese languages)</t>
  </si>
  <si>
    <t>Kazan Federal university</t>
  </si>
  <si>
    <t>Russian federation</t>
  </si>
  <si>
    <t>SQU Oman,  (23 jan-24 Feb 2026)( Arabic language studying and Oman culture), For university ( Danang, Vietnam), summer camp, June 2026</t>
  </si>
  <si>
    <t>Yes, I am very familiar with academic research. I can assist with:  · Literature reviews – finding gaps, synthesizing sources, and structuring. · Methodology – qualitative, quantitative, mixed methods, experimental design. · Data analysis – statistics (SPSS, R, Python), thematic analysis, NVivo. · Writing – abstracts, introductions, discussion sections, and proper citation (APA, MLA, Chicago, IEEE, Harvard). · Critical thinking – evaluating sources, argumentation, and logical fallacies. · Publishing – journal selection, peer review process, and responding to reviewers.</t>
  </si>
  <si>
    <t>Volunteer Experience:  · Kazan Forum "Russia – Islamic World" (May 2026) – Volunteer Attaché, accompanied the Syrian delegation. · Kazan Forum (2025) – Volunteer at the Media Center. · Russia–ASEAN Forum (June 2026) – Volunteer at the Accreditation Center. · "Rostki" Forum: Russia–China Mutually Beneficial Cooperation (2023 &amp; 2025) – Volunteer. · Summer Camp in Da Nang, Vietnam (June 2026) – Participant.</t>
  </si>
  <si>
    <t>https://kazanforum.ru/?ysclid=mr88sco6be522645525</t>
  </si>
  <si>
    <t>Interpretation, participant</t>
  </si>
  <si>
    <t>2023, 2024, 2025, 2026</t>
  </si>
  <si>
    <t>Especially in University( connected with orientalism and debates)</t>
  </si>
  <si>
    <t>Language practice, cultural exchange</t>
  </si>
  <si>
    <t>Fluent in Arabic, English, Chinese, Russian, Tatar languages, studying Vietnamese</t>
  </si>
  <si>
    <t>CV Dashkina Mariam.pdf</t>
  </si>
  <si>
    <t>Yes. I believe change begins at the local level. I founded a peer-mentoring program in my community that connected high school students with younger children from under-resourced backgrounds, focusing on literacy and confidence-building. This wasn't just about tutoring; it was about showing them a future they might not have seen for themselves. By dedicating my weekends and creating a sustainable model that now involves over 50 volunteers, I saw firsthand how individual initiative can build a supportive ecosystem that empowers others to see their own potential and, in turn, pay it forward.</t>
  </si>
  <si>
    <t>While many nations are powerful, I believe Germany is currently the most diplomatically significant country. Its influence is not solely based on economic might, but on its normative power—its ability to champion rules-based international order, multilateralism, and human rights. As the EU's largest economy and a key NATO member, Germany acts as a crucial bridge between Western powers and other global actors. Its commitment to "Verantwortungspolitik" (a foreign policy of responsibility) and its historical reckoning gives it a unique moral authority, making it an indispensable mediator in global crises, from climate change to conflict resolution.</t>
  </si>
  <si>
    <t>Youth are not just the future of diplomacy; they are its present-day architects of change. Our role is to be catalysts for innovation, utilizing digital fluency and cross-cultural networks to build bridges that traditional statecraft sometimes cannot. We bring fresh perspectives on issues like climate change, digital rights, and social justice—challenges that demand solutions beyond the old playbook. Our inherent connectivity and idealism allow us to challenge established norms and hold leaders accountable, functioning as a global conscience.
I relate to the idea of Public Diplomacy as a form of "diplomacy with the people, for the people, and by the people." It is about engaging foreign publics directly, not just governments. My personal connection to this began when I joined a cultural exchange forum online, where I interacted with peers from countries I may never have otherwise connected with. This made me realize that empathy and mutual understanding are built through storytelling and shared experiences. For me, Public Diplomacy is translating complex policy into relatable narratives and using digital tools to foster a global conversation. It’s about being an active participant in shaping perceptions, combating misinformation, and building genuine, long-term trust across borders. My generation’s digital nativity is a powerful asset in this endeavor, making us natural ambassadors for a more connected and peaceful world.</t>
  </si>
  <si>
    <t>Passion is the profound, intrinsic drive that transforms a mere interest into a defining purpose. It's the deep-seated commitment that fuels perseverance, especially when confronted with setbacks. It is not a fleeting emotion but a steady, burning fire that sustains you on the long journey toward your goals.
Passion helps me achieve my goals by acting as an anchor for resilience and a catalyst for self-improvement. When I am passionate about a project, I invest the necessary time, energy, and creativity without it feeling like a chore. It pushes me to go beyond the expected, to ask "why" and "what if," and to learn continuously. This intrinsic motivation provides clarity during times of uncertainty, reminding me of the larger purpose behind my actions. It is this passion that turns a distant ambition into a persistent, focused effort, making the process as rewarding as the eventual achievement!</t>
  </si>
  <si>
    <t>Yes, I consider creativity my greatest strategic asset. To me, creativity is less about artistic expression and more about the ability to find novel connections, reframe problems, and identify innovative solutions in complex environments. It is a mindset of seeing possibilities where others see obstacles.
I can turn this creativity into an effective Public Diplomacy strategy in several ways. First, by reimagining the narrative. Instead of relying on monotonous government statements, I would use the power of storytelling through multimedia—short films, interactive podcasts, and social media campaigns—to humanize diplomatic efforts. This makes abstract policies tangible and relatable to a global audience. Second, by designing interactive engagements. I would create virtual exchange programs, collaborative digital art projects, or gamified cultural quizzes to move beyond passive content consumption to active participation. This fosters a genuine connection and mutual understanding that traditional diplomacy often struggles to achieve.
Finally, creativity is vital for adaptive problem-solving. In the face of a diplomatic crisis or a misinformation campaign, a creative mind can quickly devise alternative communication channels, craft counter-narratives that are both truthful and compelling, and build unexpected coalitions with influencers and thought leaders to amplify the message. This agility and innovative approach are crucial for building trust and achieving influence in the modern, noisy world.</t>
  </si>
  <si>
    <t>Telegram</t>
  </si>
  <si>
    <t>Dimplomacy, languages, solving global problems</t>
  </si>
  <si>
    <t>iamlerafrolova@gmail.com</t>
  </si>
  <si>
    <t>Mustaya Karima Street 12, Apt. 597, Moscow, Russia, Moscow, Russian Federation</t>
  </si>
  <si>
    <t>Russian</t>
  </si>
  <si>
    <t>+79104683010</t>
  </si>
  <si>
    <t>771771382</t>
  </si>
  <si>
    <t>+79199444132</t>
  </si>
  <si>
    <t>Загран паспорт.jpeg</t>
  </si>
  <si>
    <t>Загран паспорт — копия.jpeg</t>
  </si>
  <si>
    <t>Master's Degree (Honours), Phd (student)</t>
  </si>
  <si>
    <t>International Law</t>
  </si>
  <si>
    <t>International Energy Law and Policy</t>
  </si>
  <si>
    <t>Moscow State Institute of International Relations (MGIMO University)</t>
  </si>
  <si>
    <t>Russia</t>
  </si>
  <si>
    <t>Yes. I completed both my Bachelor's and Master's degrees with distinction at MGIMO University, graduating in the top 0.5% of my cohort and receiving the Potanin Scholarship — one of Russia's most prestigious academic awards. My academic background is rooted in international law, energy policy, and cross-cultural communication — fields directly relevant to international relations and public diplomacy. I am currently completing my postgraduate dissertation at MGIMO, while simultaneously applying for fully funded PhD programmes at US universities, where my research focus bridges international education policy and cross-cultural dialogue — examining how language proficiency and educational frameworks shape soft power and people-to-people diplomacy in a globalised world.</t>
  </si>
  <si>
    <t>Charitable Foundation for the Development of the City of Tyumen</t>
  </si>
  <si>
    <t>https://cftyumen.ru/</t>
  </si>
  <si>
    <t>Volunteer Squad Leader. I coordinate and lead a team of volunteers in organising large-scale civic and cultural events for residents of Tyumen and the Tyumen Oblast. Key events include seasonal community festivals such as "Golden Autumn" and "Golden Spring," as well as events held in collaboration with regional governmental bodies — including the Tyumen City Duma, the Legislative Assembly of the Tyumen Oblast, and other state institutions. My responsibilities include volunteer recruitment and coordination, event logistics, communication with government stakeholders, and ensuring smooth execution of public-facing programmes.</t>
  </si>
  <si>
    <t>I am the founder and lead instructor of an independent English language education platform. My primary roles include designing and delivering advanced English courses for learners at B2–C2 level, mentoring English language teachers through group coaching and professional development programmes, conducting webinars on language acquisition and teaching methodology, and managing all aspects of the educational business — from curriculum development and content production to community building and strategic growth. I work with an audience of over 10,000 across Telegram and Instagram, running multiple simultaneous course groups with up to 120 students per intake. Alongside my teaching practice, I am completing postgraduate research at MGIMO University and preparing doctoral applications to US universities.</t>
  </si>
  <si>
    <t>I am the founder of an educational platform and personal brand focused on advanced English language instruction and professional development for teachers. The platform operates across Telegram and Instagram (combined audience of over 10,000), and its mission is to raise the standard of English language teaching in Russia by helping educators reach C1–C2 proficiency and build sustainable, high-income teaching practices.
Within this platform I run group English courses for advanced learners (B2–C2), mentor English language teachers through group coaching programmes, deliver open webinars on language acquisition and teaching methodology, and produce educational content consumed by thousands of learners and educators monthly.
Additionally, I have been selected as a Desyatnik (squad leader of ten) in a competitive national youth entrepreneurship club, where I lead a high-performance group of established content creators and entrepreneurs focused on scaling their projects and impact.</t>
  </si>
  <si>
    <t>Public speaking and presentation in English (C2 / CPE certified) · Cross-cultural communication · Curriculum design and instructional methodology · Community leadership and volunteer coordination · Event management (civic and governmental scale) · Educational entrepreneurship and online course production · Content creation and audience development · Academic research and legal analysis (international law, MGIMO) · Mentorship and coaching · Bilingual communication (Russian / English)</t>
  </si>
  <si>
    <t>CV_Guliaeva_YPDS_Jakarta_2026.docx</t>
  </si>
  <si>
    <t>Yes. I believe meaningful change in international relations begins with communication — and communication begins with language. For eight years, I have worked to close the gap between Russian professionals and the global stage by equipping them with the linguistic and cross-cultural competencies that international diplomacy demands. Over 500 students have gone on to secure roles at multinational companies or pass international examinations; 100 educators now teach at a higher standard. I have also collaborated with regional legislative bodies to design civic programmes that foster public engagement and community cohesion. My conviction is simple: soft power starts with the people who can actually speak across borders.</t>
  </si>
  <si>
    <t>Indonesia stands as one of the most diplomatically significant countries of the 21st century. As the world's largest archipelagic state, the fourth most populous nation, and the largest Muslim-majority democracy, Indonesia occupies a unique geopolitical position bridging East and West, developed and developing worlds. Its leadership within ASEAN, its active non-aligned foreign policy, and its growing role in G20 diplomacy make it a pivotal actor in shaping multilateral frameworks on climate, trade, and regional security. Indonesia's ability to maintain constructive relationships across competing global powers — the United States, China, and Russia — exemplifies the kind of principled, interest-based diplomacy the world increasingly needs.</t>
  </si>
  <si>
    <t>Youth are not the diplomacy of tomorrow — they are an underutilised force in the diplomacy of today. Young people bring linguistic agility, digital fluency, and an instinctive capacity for cross-cultural empathy that formal diplomatic institutions often lack. In an era where narratives travel faster than treaties, youth-led communication shapes public perception across borders more powerfully than many official channels. The question is not whether youth belong in diplomacy, but how quickly institutions will recognise and harness that potential.
Public diplomacy, for me, is deeply personal. My entire professional life has been built on the premise that language is the most fundamental instrument of international relations — that the ability to communicate across cultural and linguistic boundaries is not a soft skill but a strategic asset. Teaching English at C2 level to future diplomats at MGIMO, designing cross-cultural communication programmes, and building an educational platform that reaches thousands of professionals across Russia — these are, in essence, acts of public diplomacy. They expand the pool of people who can meaningfully participate in international dialogue.
I relate to public diplomacy not as an abstract concept but as a daily practice: every lesson, every conversation across difference, every student who gains the confidence to engage with the world beyond their borders is a small but real contribution to the fabric of international understanding.</t>
  </si>
  <si>
    <t>Passion, for me, is not enthusiasm — enthusiasm fades. Passion is the refusal to accept the gap between where you are and where you believe things should be. It is what keeps you working when the results are not yet visible, when the system pushes back, when the easier path is to stop.
I have experienced this directly. When I began building my educational platform, there was no guarantee it would work. I was competing against established institutions with far greater resources. What carried me through was not confidence — it was an unshakeable belief that the way English was being taught in Russia was failing students, and that I could do it differently. That conviction — that specific, personal, almost stubborn sense of purpose — is what I mean by passion.
It translates into goals because passion narrows your focus. You stop asking whether to continue and start asking only how. Every setback becomes a design problem rather than a reason to quit. In eight years, that orientation has taken me from a single student to a platform of thousands, from a tutor to a researcher, from a local classroom to applying for doctoral programmes abroad. Passion does not remove obstacles. It makes you someone who does not need them removed.</t>
  </si>
  <si>
    <t>Yes — though I would define creativity not as the ability to generate original ideas, but as the ability to see familiar problems from angles others have not yet tried. That reframing instinct has driven everything I have built professionally.
When I entered English language education, the dominant model was rigid, textbook-driven, and producing students who could pass exams but could not hold a real conversation. I did not invent a new subject — I redesigned the logic of how it was taught. I replaced memorisation with reasoning, passive reception with active production, and isolated grammar rules with systems that students could actually apply under pressure. That is creativity in practice: not novelty for its own sake, but purposeful reinvention of something that was not working.
Translated into public diplomacy, this same orientation becomes a genuine strategic asset. Effective public diplomacy in the 21st century is not about broadcasting official narratives — it is about designing communication experiences that people actually want to engage with. It requires understanding your audience deeply enough to meet them where they are, not where you wish they were. My experience building educational content for audiences ranging from beginner learners to C2-level professionals has given me exactly that: the ability to read a room, adapt a message, and create something that lands rather than merely reaches. Creativity, in diplomacy as in education, is ultimately the art of being understood.</t>
  </si>
  <si>
    <t>Scholarships portal</t>
  </si>
  <si>
    <t>Strategic Communication</t>
  </si>
  <si>
    <t>adrianaistim@gmail.com</t>
  </si>
  <si>
    <t>Arcadiei Street, House number: 9, Bucharest, Romania</t>
  </si>
  <si>
    <t>Romanian</t>
  </si>
  <si>
    <t>+40 733 689 389</t>
  </si>
  <si>
    <t>065849727</t>
  </si>
  <si>
    <t>+40 727 682 382</t>
  </si>
  <si>
    <t>linkedin.com/in/mihaela-istim-b4102a250</t>
  </si>
  <si>
    <t>Passport Mihaela Istim.jpeg</t>
  </si>
  <si>
    <t>Profile picture Mihaela Istim.jpeg</t>
  </si>
  <si>
    <t>Master's Degree</t>
  </si>
  <si>
    <t>Diplomacy in International Economics</t>
  </si>
  <si>
    <t>Bucharest University of Economic Studies (ASE)</t>
  </si>
  <si>
    <t>Romania</t>
  </si>
  <si>
    <t>Polytechnic Institute of Porto</t>
  </si>
  <si>
    <t>Yes, I have conducted research on diplomacy topics, written research papers, and participated in academic research competitions during my studies.</t>
  </si>
  <si>
    <t>Europe Direct Bucharest Center</t>
  </si>
  <si>
    <t>https://europedirectbucuresti.ier.gov.ro/</t>
  </si>
  <si>
    <t>6</t>
  </si>
  <si>
    <t>Partnership Manager</t>
  </si>
  <si>
    <t>Economist and International Affairs Specialist</t>
  </si>
  <si>
    <t>Mihaela_Istim_CV_EN.pdf</t>
  </si>
  <si>
    <t>Yes, changing the world has always been one of my biggest ambitions. Over the past several years, I've worked toward that through action and knowledge: six years volunteering with Europe Direct Bucharest, organizing public campaigns, debates, and youth initiatives on European values, performing in a forum theatre troupe that sparked social dialogue in Romania and abroad, and founding the "Ticket to the European Union" project. I've also attended many diplomacy and international relations conferences,many including European leaders. My academic research on EU diplomatic negotiations reflects the same drive: understanding international dialogue well enough to help shape it.</t>
  </si>
  <si>
    <t>I consider Estonia one of the world's most diplomatically significant countries. After the 2007 cyberattacks disrupted its banks, media, and government services, Estonia transformed itself into a global leader in cyber diplomacy and helped establish NATO's Cooperative Cyber Defence Centre of Excellence in Tallinn. I researched this case during my master's studies in Diplomacy in International Economics, and what impressed me most was how Estonia turned vulnerability into diplomatic influence by helping shape international cybersecurity norms. For a country of just 1.3 million people, Estonia proves that expertise, resilience, and strategic vision can outweigh size in global diplomacy.</t>
  </si>
  <si>
    <t>Young people have an important role in diplomacy because they connect institutions with society. While they are not usually the ones making foreign policy decisions, they help make international issues more understandable and relevant to their communities. They also bring new perspectives, digital communication skills, and the confidence to challenge traditional ways of thinking.
This is why I relate strongly to the idea of public diplomacy. For six years, I worked with Europe Direct Bucharest, where my role was to communicate European Union policies in ways that people could genuinely connect with. Through social media campaigns, public events, and even theatre performances, we translated complex topics into conversations that felt accessible and engaging. Seeing people ask questions, change their perspectives, or simply become more interested in European affairs showed me that diplomacy is not limited to meetings between governments. It also happens when citizens feel informed, included, and willing to participate.
My master's studies gave me the academic foundation to understand diplomacy, but these experiences taught me that trust is built through communication. For me, public diplomacy is about creating dialogue, making institutions more approachable, and strengthening the relationship between people and public policy.</t>
  </si>
  <si>
    <t>For me, passion is what keeps me committed long after the initial excitement fades. It is the reason I continue investing time and effort in something, even when it becomes challenging or demanding.
I experienced this during my master's studies while working full-time. After work, I would attend classes, research diplomacy and international negotiations, and write papers because I genuinely wanted to understand the subject more deeply. Earlier, during my bachelor's studies, the same passion led me to volunteer with Europe Direct Bucharest, where I helped communicate European policies and encourage civic engagement among young people.
Passion gives me consistency rather than short bursts of motivation. It has encouraged me to go beyond academic requirements and stay engaged with European affairs. I believe skills can be learned, but passion is what gives us the persistence to keep improving and turn long-term goals into meaningful achievements.</t>
  </si>
  <si>
    <t>I consider myself a creative person because I enjoy finding new ways to make complex topics accessible. Working as a Marketing Expert and Social Media Intern at the European Institute of Romania taught me that the same information can receive completely different reactions depending on how it is communicated. Creating campaigns, adapting messages for different audiences, and choosing the right format became just as important as the content itself.
That experience inspired one of my master's research projects, where I analyzed how several states used X during diplomatic events. I examined their discourse, communication strategies, and visual content to understand how social media shapes public diplomacy and influences public perception. The research showed me that diplomatic messages no longer reach people only through official statements. They are interpreted, shared, and debated in real time across digital platforms.
An effective public diplomacy strategy therefore requires more than accurate information. It needs clear communication, an understanding of different audiences, and the ability to adapt messages without losing credibility. My background in both marketing and diplomacy has shown me how these elements can work together to build trust and strengthen international engagement.</t>
  </si>
  <si>
    <t>ehdohtoo69@gmail.com</t>
  </si>
  <si>
    <t>3-16 Wakakusacho, KT Building Wakakusa 201, Beppu, Oita, Japan</t>
  </si>
  <si>
    <t>Myanmar</t>
  </si>
  <si>
    <t>070-8536-5112</t>
  </si>
  <si>
    <t>MI196590</t>
  </si>
  <si>
    <t>070-8536-5393</t>
  </si>
  <si>
    <t>CamScanner 2026-07-03 23.23.pdf</t>
  </si>
  <si>
    <t>IMG_20260318_211709_825.jpg</t>
  </si>
  <si>
    <t>Bachelor of Business Administration</t>
  </si>
  <si>
    <t>Strategic Management and Leadership</t>
  </si>
  <si>
    <t>Ritsumeikan Asia Pacific University</t>
  </si>
  <si>
    <t>Japan</t>
  </si>
  <si>
    <t>Yes, some of my classes require a lot of academic research.</t>
  </si>
  <si>
    <t>For the Future Myanmar</t>
  </si>
  <si>
    <t>Training and Development Team Member</t>
  </si>
  <si>
    <t>1 year</t>
  </si>
  <si>
    <t>Data Analysis</t>
  </si>
  <si>
    <t>CV.png</t>
  </si>
  <si>
    <t>I do not like to think in terms of “changing the world.” I always felt it was too abstract to act on. What I can do is change the small world in front of me. I have worked as a teaching assistant for several classes at my university here in Japan, namely APU. I have helped many international students build their lives in a language that is not theirs. In addition, as the vice-president of the university’s shamisen club, I also introduce international students from dozens of different countries to a Japanese tradition that they have never touched. Neither is world-changing on its own. But they are both real. They are both repeatable acts of connecting people across language and culture.</t>
  </si>
  <si>
    <t>I might have some biases due to my firsthand experience, but I would say Japan. It sits at the center of major regional tensions: China, the two Koreas, Taiwan, Russia, and the US Alliance. Still, it positions itself as a stabilizing, non-confrontational power. Throughout my time here in APU, where half the student body is international students, I see this soft power working in real time. Students come to Japan not due to political persuasion but rather via cultural pull. This mix of quiet strategic positioning and genuine culture appeal is why I think Japan punches above its weight diplomatically, despite having limited military hard power.</t>
  </si>
  <si>
    <t>Though it pains me to say, youths are diplomacy’s least official channel. But we are also the most durable channel. While governments negotiate treaties, it is us youths who can build the personal trust that makes those treaties stick. And we do it in one classroom, one friendship, one shared meal at a time. This happens without press coverage, and it outlasts political cycles because it is personal, not institutional.
I relate to this directly. In APU, I am surrounded by people from all over the world. As a TA, vice-president, even at my part-time job at a sushi restaurant, all the daily interactions that I do are small acts of public diplomacy. When I help a friend understand something about the Japanese language or teach somebody who is not familiar with Japanese music how to read the traditional sheet music, I am not representing a government, but I am still shaping how they will think of Japan and of people like me.
Public diplomacy, to me, is not a top-down messaging campaign. It is the accumulation of thousands of ordinary interactions between people who happen to be from different countries. Youth can do this constantly, informally, which official diplomats often cannot.</t>
  </si>
  <si>
    <t>I see passion as something that you keep doing even when you are not being graded. For me, that is Japanese. I did not start learning it for credits. Rather, I started learning it even before I came to Japan. I started because I wanted to understand anime without subtitles, and that pulled me into years of self-directed study, immersion tools, and eventually JLPT N3. 
I believe that kind of passion matters because it survives dopamine peaks. Formal motivations such as grades fade when things get hard. Passion is what gets you to open the textbook, or pick up the shamisen, on a day nobody is checking. It is also what let me become one of the shamisen club’s officers. The role comes from genuinely caring about the matter at hand. My long-term goal is to live and work in Japan, and passion is the fuel that makes the daily, unglamorous parts of that goal sustainable.</t>
  </si>
  <si>
    <t>Yes, and I would build that around music. Because music is one of the few truly universal languages. It does not need translation to be understood, and it does not ask an audience to already know something about the culture behind it. You can feel a melody before you understand its context. That makes it one of the most efficient tools public diplomacy has.
I can play guitar, mandolin, and shamisen. I have also studied music theory, so when I play music, I understand the structure underneath it, such as scale, rhythm, and why a piece sounds the way it does. This can be used strategically, because a performance paired with a short explanation can turn a moment of entertainment into a moment of genuine cultural understanding. People remember how something made them feel. And people tend to stay curious over why it made them feel like that.
As a strategy, I can use live music as the starting point. It hits people right away and does not need any background knowledge. Then I would follow it with a short explanation to turn that first reaction into actual interest. This can work well at events such as cultural exchange programs, or student gatherings. As a plus factor, I can use shamisen because it is unusual enough that people get curious just from seeing it. I can use music to pique people’s interest. And I can use the story behind the music to keep people engaged.</t>
  </si>
  <si>
    <t>davlatovanigora@gmail.com</t>
  </si>
  <si>
    <t>Firdavsi 29/1, apartment 21, Firdavsi district, Dushanbe, Tajikistan, Dushanbe, Tajikistan</t>
  </si>
  <si>
    <t>Tajik</t>
  </si>
  <si>
    <t>+992750878008</t>
  </si>
  <si>
    <t>401710257</t>
  </si>
  <si>
    <t>+992985600555</t>
  </si>
  <si>
    <t>parv1zsami</t>
  </si>
  <si>
    <t>samievparviz</t>
  </si>
  <si>
    <t>intl passport for Parviz Samiev.pdf</t>
  </si>
  <si>
    <t>photo Sami P..JPG</t>
  </si>
  <si>
    <t>Bachelor’s degree in Business Management</t>
  </si>
  <si>
    <t>Telecommunications and Informatics / International Communications</t>
  </si>
  <si>
    <t>Telkom University</t>
  </si>
  <si>
    <t>Indoensia</t>
  </si>
  <si>
    <t>international affairs</t>
  </si>
  <si>
    <t>Diplomat</t>
  </si>
  <si>
    <t>Sami_Parviz_YPDS_Jakarta_2026_CV.pdf</t>
  </si>
  <si>
    <t>Yes. Rather than waiting for large-scale change, I have tried to build it through my work as a career diplomat. Over 15 years at Tajikistan's Foreign Ministry, I have helped draft and negotiate more than 50 international agreements, represented my country at the Shanghai Cooperation Organisation, and coordinated cooperation with Southeast Asian and Asia-Pacific partners on trade, education and culture. On a personal level, I mentor junior colleagues entering diplomatic service, and I share the language skills and cross-cultural knowledge I gained from postings in China, Korea and Indonesia to help young Tajiks prepare confidently for their future international careers.</t>
  </si>
  <si>
    <t>I would point to China. Its economic weight, Belt and Road connectivity, and central role in frameworks such as the Shanghai Cooperation Organisation make it a pivotal actor shaping Eurasian trade, security and infrastructure. Having served as Second Secretary at Tajikistan's Embassy in Beijing, I saw firsthand how China's growing engagement with Central Asia influences regional stability, investment flows and multilateral cooperation. Its evolving relationships with major powers and developing states alike give it outsized leverage in shaping global governance today. For a country like Tajikistan, understanding China's diplomatic posture remains essential to navigating our own regional and international priorities.</t>
  </si>
  <si>
    <t>Youth play an increasingly central role in modern diplomacy. Young diplomats bring fresh perspectives, digital fluency and comfort with cross-cultural exchange at a moment when global challenges demand faster, more collaborative responses. They often serve as important bridges between traditional state-to-state channels and the informal networks, technology platforms and civil-society actors that increasingly shape international relations today. In my own career, working across China, the Republic of Korea, Indonesia and Southeast Asia, I have seen how younger officials help modernize diplomatic practice while still respecting institutional experience, hierarchy and established protocol.
Public diplomacy, to me, is the human face of foreign policy: engaging not only governments but societies, students, businesses and communities to build understanding and mutual trust. I relate to it through my work coordinating training and technical-cooperation programmes, mentoring junior colleagues entering the foreign service, and drawing on the languages and cultural knowledge I gained overseas to make Tajikistan's positions more accessible and relatable to foreign audiences. I see public diplomacy as a genuine, patient, long-term investment: relationships built through education exchanges, cultural cooperation and authentic people-to-people contact often prove more durable than formal agreements alone, and I try to reflect that outlook in my daily diplomatic work.</t>
  </si>
  <si>
    <t>To me, passion is the sustained energy that keeps you engaged with a goal long after the initial excitement fades. It is not a single burst of enthusiasm but a steady, quiet commitment that shows up in daily discipline, especially on the routine, less glamorous days.
My passion for diplomacy and international law has shaped nearly every major choice in my career: studying law and international communications, learning Russian, English and Chinese, and choosing overseas postings in China, Korea and Indonesia rather than staying within my comfort zone. That same drive kept me focused through many years of treaty drafting and negotiation work that rarely brings quick recognition.
Passion helps me achieve goals because it turns obstacles into problems worth solving rather than reasons to stop. It also makes the work sustainable, since genuine interest, not obligation alone, carries me through demanding periods and keeps me continually learning and improving.</t>
  </si>
  <si>
    <t>Yes, I consider myself a creative person, though my creativity shows up less in artistic terms and more in how I connect ideas, cultures and people. Years working across China, Korea and Indonesia taught me to look for unconventional entry points into relationships, whether through shared language, cultural references or informal exchanges that formal negotiations do not usually allow.
I try to channel that creativity into public diplomacy by treating it as storytelling rather than messaging. Instead of relying only on official statements, I look for formats that make Tajikistan's culture, history and priorities genuinely accessible: multilingual content, engaging visual materials, and cultural or educational exchange programmes that let foreign audiences experience the country rather than simply read about it. My background in design tools, digital platforms and AI-supported content preparation helps me produce these materials efficiently and adapt them to different audiences, from students to business communities.
An effective public diplomacy strategy, in my view, combines consistent core messaging with creative, locally tailored delivery, using digital channels, people-to-people programmes and cultural diplomacy to build lasting relationships rather than one-off impressions. Applied this way, creativity turns public diplomacy from a formality into a genuine, durable and human bridge between societies.</t>
  </si>
  <si>
    <t>Scholorships portal</t>
  </si>
  <si>
    <t>Sikhakhane8@gmail.com</t>
  </si>
  <si>
    <t>11 Daleham Road, Mondeor, South Africa</t>
  </si>
  <si>
    <t>South African</t>
  </si>
  <si>
    <t>+27742543027</t>
  </si>
  <si>
    <t>A09008191</t>
  </si>
  <si>
    <t>PASSPORT.jpeg</t>
  </si>
  <si>
    <t>Updated photo.jpg</t>
  </si>
  <si>
    <t>Advanced Diploma</t>
  </si>
  <si>
    <t>Business studies</t>
  </si>
  <si>
    <t>Finance</t>
  </si>
  <si>
    <t>Nelson Mandela Univeristy</t>
  </si>
  <si>
    <t>South Africa</t>
  </si>
  <si>
    <t>Amnesty International</t>
  </si>
  <si>
    <t>https://www.amnesty.org/en/location/africa/southern-africa/south-africa/</t>
  </si>
  <si>
    <t>Public relations officer</t>
  </si>
  <si>
    <t>Chemical Gas Sales Representative</t>
  </si>
  <si>
    <t>The aim of the organization is to empower young girls through grassroots football by providing a safe, inclusive, and supportive environment where they can develop their sporting talent, build confidence, and acquire essential life skills. The organization is committed to promoting equal opportunities in sport, encouraging education, fostering leadership, and improving the physical, mental, and social well-being of girls. Through football, mentorship, and community engagement, the organization seeks to inspire young women to reach their full potential and become positive leaders within their communities.</t>
  </si>
  <si>
    <t>Creative work</t>
  </si>
  <si>
    <t>Noluthando Sikhakhane CV 2026.pdf</t>
  </si>
  <si>
    <t>Yes. I believe lasting change begins with empowering people at the community level. Beyond my professional career, I founded a grassroots women's football organization that develops young girls through sport, mentorship, and leadership. The initiative creates opportunities for girls to build confidence, discipline, teamwork, and resilience while promoting gender equality and social inclusion. Professionally, I strive to make a positive impact by delivering excellent service, building strong relationships, and using data to improve business decisions. Whether in my community or workplace, I believe that small, consistent actions can create meaningful and lasting change.</t>
  </si>
  <si>
    <t>I don't believe there is one country that is the most diplomatically significant because every nation contributes differently to global affairs. If I had to choose, I would say the United States because of its influence on international trade, global security, technology, and foreign policy. Decisions made by the United States often have a ripple effect on other countries and international organizations. However, I also believe diplomacy is becoming more collaborative. Countries like South Africa play an important role in representing the interests of the Global South and promoting dialogue, peace, and cooperation. Strong diplomacy is about working together to solve shared challenges, not one country leading alone.</t>
  </si>
  <si>
    <t>I believe young people have an important role in diplomacy because we bring fresh ideas, different perspectives, and a willingness to engage with people from diverse backgrounds. We are also the generation that uses technology and social media to connect with people across the world, making it easier to build understanding beyond our own communities. Young people can influence conversations about peace, equality, climate change, education, and economic development by sharing ideas and working together across borders.
I relate to the idea of public diplomacy because I believe meaningful relationships are built through people, not only through governments. In my career, I have learned the importance of communication, building trust, and working with people from different industries to achieve common goals. Outside of work, I founded a grassroots women's football organization because I wanted to create opportunities for young girls to grow through sport. Football brings people together regardless of their background, language, or culture, and it teaches values such as respect, teamwork, and leadership.
For me, public diplomacy is about creating opportunities for people to connect, learn from one another, and work together to make a positive difference. I believe young people can play a leading role in making those connections stronger.</t>
  </si>
  <si>
    <t>passion is having a clear purpose that motivates you to keep going, even when things become challenging. It is what keeps you committed to your goals and encourages you to keep learning and improving. Passion is not just about enjoying something; it is about being willing to put in the effort to make a difference.
My passion is creating opportunities for others while continuing to grow professionally. In my career, I enjoy solving problems, building strong relationships, and using data to improve business decisions. Outside of work, I am passionate about empowering young girls through my grassroots women's football organization. Seeing girls gain confidence, develop leadership skills, and believe in their potential motivates me to continue investing my time and energy into the initiative. My passion also drives me to keep learning, which is why I am developing my skills in data analytics. It reminds me that every step I take brings me closer to achieving both my personal and professional goals.</t>
  </si>
  <si>
    <t>Yes, I consider myself a creative person because I enjoy finding practical solutions to challenges and looking at situations from different perspectives. Creativity is not only about coming up with new ideas Through my grassroots women's football organization, I have also found creative ways to encourage girls to participate in sport and develop leadership skills.
I believe creativity is an important part of public diplomacy because it helps people connect in ways that feel genuine and meaningful. Sport, storytelling, digital media, music, and cultural exchange can all bring people from different backgrounds together and encourage mutual understanding.
If I had the opportunity, I would use football as a platform for cultural exchange by bringing together young people from different communities and countries to learn from one another. I would also use social media to share inspiring stories, celebrate diversity, and encourage positive conversations. I believe creativity makes diplomacy more inclusive by giving ordinary people, especially young people, the chance to build friendships and strengthen international relationships through shared experiences.</t>
  </si>
  <si>
    <t>Public Diplomacy</t>
  </si>
  <si>
    <t>Shah, Syed Tufail</t>
  </si>
  <si>
    <t>awaishaider131@gmail.com</t>
  </si>
  <si>
    <t>House# 6-F, Street# 05, Sector G-6/3, Islamabad, Islamabad, Pakistan</t>
  </si>
  <si>
    <t>+92 3035945686</t>
  </si>
  <si>
    <t>QV5158292</t>
  </si>
  <si>
    <t>+92 3127689131</t>
  </si>
  <si>
    <t>https://www.instagram.com/tufail_shah19?igsh=MTJiZ3hiMnNzOTNuZA==</t>
  </si>
  <si>
    <t>https://www.facebook.com/share/1952A8Kru3/</t>
  </si>
  <si>
    <t>Passport.pdf</t>
  </si>
  <si>
    <t>WhatsApp Image 2026-06-21 at 2.35.55 AM.jpeg</t>
  </si>
  <si>
    <t>National University of Modern Languages Islamabad (NUML)</t>
  </si>
  <si>
    <t>Youth Diplomacy Forum</t>
  </si>
  <si>
    <t>https://youthdiplomacyforum.com/</t>
  </si>
  <si>
    <t>Member</t>
  </si>
  <si>
    <t>2+</t>
  </si>
  <si>
    <t>Yes. I am currently employed full-time at the Senate of Pakistan as a Personal Secretary to a Senator. In this role, I support parliamentary affairs, policy research, stakeholder coordination, committee operations, and official communications. My work involves close engagement with parliamentarians, government officials, and national and international stakeholders on matters related to governance, public policy, and parliamentary diplomacy.</t>
  </si>
  <si>
    <t>No, I have not founded a youth organization. However, I am an active member of the Youth Diplomacy Forum, where I contribute to organizing seminars, conferences, and initiatives focused on diplomacy, public policy, and youth engagement.</t>
  </si>
  <si>
    <t>My core skillset includes policy research and analysis, public diplomacy, stakeholder engagement, parliamentary affairs, leadership, strategic communication, public speaking, and cross-cultural collaboration. Through my work at the Senate of Pakistan and my academic background in International Relations, I have developed strong abilities in governance, negotiation, coordination, report writing, and evidence-based policymaking. I am also experienced in organizing events, managing diverse stakeholders, and working effectively in multicultural environments.</t>
  </si>
  <si>
    <t>Syed_Tufail_Shah_CV.pdf.pdf</t>
  </si>
  <si>
    <t>Yes. I believe meaningful change begins with small but consistent actions. Through my involvement with the Youth Diplomacy Forum, I have contributed to organizing seminars, conferences, and awareness initiatives that promote diplomacy, public policy, and youth engagement. I have also participated in community and environmental advocacy activities through WWF-Pakistan and other volunteer efforts. Professionally, my work at the Senate of Pakistan allows me to support evidence-based policymaking and constructive dialogue among stakeholders. These experiences have strengthened my belief that empowering young people, encouraging informed discussions, and supporting effective governance can create lasting positive change.</t>
  </si>
  <si>
    <t>In my view, the United States remains one of the most diplomatically significant countries in the world. Its influence extends across international politics, global security, trade, development, and multilateral institutions. As a permanent member of the United Nations Security Council and a key actor in organizations such as NATO, the United States plays a central role in shaping international responses to global challenges. Its diplomatic engagement affects issues ranging from conflict resolution and climate action to economic cooperation. While diplomacy today is increasingly multipolar, the United States continues to be a major force in fostering dialogue, partnerships, and international decision-making.</t>
  </si>
  <si>
    <t>Youth play a vital role in diplomacy by fostering dialogue, promoting mutual understanding, and contributing innovative perspectives to global challenges. In an increasingly interconnected world, young people are not only future leaders but also active stakeholders who can build bridges across cultures, communities, and nations. Through education, advocacy, digital engagement, and people-to-people interactions, youth can strengthen international cooperation and promote peaceful coexistence.
I strongly relate to the idea of public diplomacy because it emphasizes communication, trust-building, and engagement between people beyond formal state-to-state relations. My academic background in International Relations introduced me to the principles of diplomacy and international cooperation, while my professional experience at the Senate of Pakistan allowed me to observe how dialogue, negotiation, and stakeholder engagement influence policymaking and governance. Additionally, my involvement with the Youth Diplomacy Forum has enabled me to contribute to initiatives that encourage policy discussions and youth participation.
For me, public diplomacy is about creating understanding between societies and encouraging constructive engagement. I believe young people have a unique ability to connect diverse perspectives, challenge stereotypes, and contribute positively to global conversations. By empowering youth voices, diplomacy becomes more inclusive, innovative, and effective in addressing contemporary challenges.</t>
  </si>
  <si>
    <t>Passion is the inner drive that motivates a person to pursue a purpose with commitment, resilience, and enthusiasm. It is what keeps individuals focused on their goals despite challenges and inspires continuous growth and learning.
My passion lies in diplomacy, governance, and public service. This passion led me to study International Relations and later pursue a career at the Senate of Pakistan, where I gained firsthand exposure to policymaking, parliamentary affairs, and stakeholder engagement. It motivates me to seek opportunities that broaden my understanding of global issues and strengthen my ability to contribute positively to society.
Passion helps me achieve my goals by giving me the determination to learn, adapt, and remain committed to my aspirations. It is also the reason I am applying to the Young Public Diplomacy Summit. I believe the summit will provide valuable insights, international perspectives, and meaningful connections that will help me grow as a future leader and contribute more effectively to diplomacy and international cooperation.</t>
  </si>
  <si>
    <t>If diplomacy is the art of building bridges, creativity is what helps us design them in ways that people are willing to cross.
Yes, I consider myself a creative person. For me, creativity is not limited to art or design; it is the ability to communicate ideas effectively, solve problems from new perspectives, and connect with diverse audiences. Whether organizing youth-focused events through the Youth Diplomacy Forum, contributing to public awareness initiatives, or supporting stakeholder engagement in my work at the Senate of Pakistan, I have learned that innovative communication often creates the strongest impact.
I believe creativity can be transformed into an effective public diplomacy strategy by making international engagement more relatable and inclusive. Instead of relying solely on official channels, diplomacy can use storytelling, digital campaigns, cultural exchanges, youth-led dialogues, and social media platforms to connect people across borders. Such approaches help humanize international relations and encourage mutual understanding.
My academic background in International Relations and professional exposure to parliamentary affairs have shown me that successful diplomacy depends not only on policies but also on how those policies are communicated. By combining creativity with dialogue and collaboration, public diplomacy can build trust, strengthen international partnerships, and inspire meaningful cooperation among societies.</t>
  </si>
  <si>
    <t>Scholarship portal and social media too</t>
  </si>
  <si>
    <t>inteshar112358@gmail.com</t>
  </si>
  <si>
    <t>73/3, Malibagh first lane, Dhaka-1217, Dhaka, Bangladesh</t>
  </si>
  <si>
    <t>Bangladeshi</t>
  </si>
  <si>
    <t>+34657337589</t>
  </si>
  <si>
    <t>A07178088</t>
  </si>
  <si>
    <t>Inteshar Alam</t>
  </si>
  <si>
    <t>https://www.linkedin.com/in/fahmida-alam-8780a31ba/</t>
  </si>
  <si>
    <t>https://www.instagram.com/fprithi/?hl=en</t>
  </si>
  <si>
    <t>https://www.facebook.com/fahmimiaaa/</t>
  </si>
  <si>
    <t>Passport (1).jpg</t>
  </si>
  <si>
    <t>IMG_0187.jpg</t>
  </si>
  <si>
    <t>Master's Candidate</t>
  </si>
  <si>
    <t>Erasmus Mundus Joint International Master's in Global Markets, Local Creativities (GLOCAL)</t>
  </si>
  <si>
    <t>Global economy</t>
  </si>
  <si>
    <t>University of Glasgow - Universitat de Barcelona - University of Göttingen</t>
  </si>
  <si>
    <t>Bachelor's in Bangladesh</t>
  </si>
  <si>
    <t>EuroActivar - Associação de Cooperação da Lousã</t>
  </si>
  <si>
    <t>https://www.activar.org/</t>
  </si>
  <si>
    <t>3+</t>
  </si>
  <si>
    <t>n/a</t>
  </si>
  <si>
    <t>Fundraising, grants management</t>
  </si>
  <si>
    <t>FA_EURO.pdf</t>
  </si>
  <si>
    <t>Yes but I realised my actions alone aren't enough and there is no right moment to do anything. At BRAC, I helped design and raise funds for programs that trained climate-vulnerable youth and women in resilient livelihoods, supported Rohingya artisans in Cox's Bazar and connected youth to career pathways. I wrote proposals, built partnerships and visited communities to do whatever i can from my level. Before that, as a student volunteer with LIGHT, I organized crisis-relief efforts for underserved communities in Dhaka. While 'changing the world' sounds a bit dramatic, I have learned it actually looks like well-designed programs considering sustainability and human aspect that will deliver outlasting results.</t>
  </si>
  <si>
    <t>My neighbouring country, India, has significance lying in its deliberate refusal to be defined by any single alliance. As the world's most populous democracy, a G20 host and a leading voice of the Global South, India has positioned itself as an indispensable bridge between competing world orders. Its "Neighbourhood First" policy, vaccine diplomacy during COVID-19 and growing role in climate finance negotiations all reflect a country actively shaping regional dynamics. For a Bangladeshi young professional, India's diplomatic choices are also deeply personal, as they affect regional trade, water security and migration. That proximity makes it impossible to study South Asian diplomacy without centering India.</t>
  </si>
  <si>
    <t>At first hearing 'Diplomacy' sounds like it's all about big institutions, ministries, embassies and others. But public diplomacy is a bit different, it's really about how a country is seen or noticed through culture, education, media, and communities. Young people are right in the middle of this, their inherent flexibility allows them to respond with greater speed and agility. Young people have a natural handle on digital tools and an easy way of talking across cultures that formal diplomacy sometimes misses. They aren't here to replace the big institutions, but can definitely help make these aspects feel more real, reachable and in tune with the people they're trying to connect with.
I saw this for myself while working at BRAC and representing them at any events, I discussed with donors and policymakers from all over, but the most important conversations didn't happen in the meetings. They happened informally, where we built real trust through simple, honest talk rather than following strict rules. To me, public diplomacy is about making complicated issues feel more humane. Whether I was designing exchange programs or writing policy pieces, I was helping people see Bangladesh differently, as a place that leads the way in development innovation, not just a country that needs help.</t>
  </si>
  <si>
    <t>A strong feeling or urge or the internal pull that makes certain work feel different from the rest. It's the genuine excitement you feel when you're doing something that actually means something to you. Without it, even important work can feel monotonous, a checklist rather than a calling. For me, that feeling has always been tied to people who are left out of decisions that affect them most. I was genuinely concerned and moved by the women I was writing for. From refugees to young girls who doesn't have the opportunities like i do, that emotional connection is what pushed me to go further, ask harder questions and not settle for a good-enough draft. And passion shouldn't be an optional thing rather a core foundational skill or quality one should possess if they really want to make a change.</t>
  </si>
  <si>
    <t>I think I am not creative in the traditional sense. But I certainly know the importance of creativity, I have seen its effects most clearly through travel. Moving through places, I noticed how a piece of street art, a local festival, or the way a city tells its own story through architecture shapes how outsiders feel about a place. Sometimes more powerfully than any official campaign. Creativity brings long-term effects. During my volunteering in Portugal, I designed cultural exchange sessions on Bangladeshi heritage using games and storytelling and watched people genuinely engage with a culture they had never encountered before. That is what creative public diplomacy does. It doesn't announce itself. It just makes people feel something, curiosity, warmth, recognition and that feeling outlasts any formal meeting or document.</t>
  </si>
  <si>
    <t>scholarship portal</t>
  </si>
  <si>
    <t>Aras Nawzad Ali Alshikhane</t>
  </si>
  <si>
    <t>arshshekhg@gmail.com</t>
  </si>
  <si>
    <t>Eskan , 7/644, Kirkuk, Iraq</t>
  </si>
  <si>
    <t>Iraqi</t>
  </si>
  <si>
    <t>+9647701301963</t>
  </si>
  <si>
    <t>B37987997</t>
  </si>
  <si>
    <t>+9647701305981</t>
  </si>
  <si>
    <t>https://www.linkedin.com/in/aras-alshikhane-32bb27193?utm_source=share_via&amp;utm_content=profile&amp;utm_medium=member_ios</t>
  </si>
  <si>
    <t>https://www.instagram.com/draras.s?igsh=bG4zZGF1cGJwZGxo&amp;utm_source=qr</t>
  </si>
  <si>
    <t>https://www.facebook.com/share/18irUpiaZX/?mibextid=wwXIfr</t>
  </si>
  <si>
    <t>Design Image.jpeg</t>
  </si>
  <si>
    <t>Photoroom_20251109_170130.jpeg</t>
  </si>
  <si>
    <t>PHD</t>
  </si>
  <si>
    <t>PhD in physics</t>
  </si>
  <si>
    <t>Physics / Condensed Matter</t>
  </si>
  <si>
    <t>Urmia University</t>
  </si>
  <si>
    <t>Iran</t>
  </si>
  <si>
    <t>Yes , dream organization, Chater Organization, Kurdistan students union</t>
  </si>
  <si>
    <t>More than 10 years</t>
  </si>
  <si>
    <t>Teacher</t>
  </si>
  <si>
    <t>Teacher, researcher, manager, educator, content creator</t>
  </si>
  <si>
    <t>Dr_Aras_AlShikhane..pdf</t>
  </si>
  <si>
    <t>Yes, I think the way to change the world begins with empowering individuals through education and cross-culture understanding. I have been mentoring youth from various backgrounds, professionally and personally, for more than 10 years, as a university lecturer and institute director. I have influenced thousands of students directly through teaching and management of educational institutions, fostering critical thinking and cross-cultural communication. Additionally, my position as a multilingual professional with 5 language skills enabled me to fill in the gaps and be a cultural broker, to help youth break down educational barriers and to build community resilience through accessible and quality learning programs.</t>
  </si>
  <si>
    <t>Indonesia is a diplomatically important country, especially in Southeast Asia and the Global South. As the world’s largest archipelagic state and a diverse democratic country, Indonesia has always championed the principles of peaceful coexistence, multilateralism and strategic neutrality. Its leadership in ASEAN and successful G20 presidency show its ability to bridge divisions between major global powers. For a Middle Eastern academic and practitioner, the understanding of Indonesia’s model of free and active foreign policy and its success in cultural diplomacy offers invaluable insights to foster regional stability and international cooperation.</t>
  </si>
  <si>
    <t>The youth are not simply the future recipients of diplomacy, they are the active and present drivers. In a connected digital age, young people have the nimbleness, creativity and tech-savviness to leap over old geopolitical borders. They influence global narratives, advocate for sustainable development and encourage international grassroots solidarity.  As a PhD holder, university lecturer and former educational executive, I strongly identify with the essence of Public Diplomacy, which entails relationship building through education, culture and science. Science and cultural diplomacy have been the center of my career. I have practiced public diplomacy on a daily basis by recruiting international students, mediating student grievances in multicultural academic environments, and communicating in five languages. I consider education a tool of soft-power, to break stereotypes, to create sustainable mutual trust between nations. Joining this summit gives me the opportunity to connect my academic knowledge of physics and institutional management with public diplomacy strategies, and to empower the new generation of youth to become effective cultural ambassadors and bridge-builders between Iraq, Indonesia and the rest of the world.</t>
  </si>
  <si>
    <t>Passion is the fuel that transforms vision into resilience and ongoing action. It is the deep commitment to a purpose that drives a person to overcome barriers and pursue excellence. Over the years, my passion has been the factor of my personal growth. It is what enabled me to juggle challenging executive positions with a staff of over 250 in several different educational branches, as well as pursuing and completing my PhD in Physics. My passion for community development and education drives me beyond the conventional, as I speak five languages fluently and traverse the academic, corporate, and multicultural worlds with ease. My passion drives me to achieve my goals, keeps me focused on outcomes and turns challenges into strategic milestones, motivating the teams and students I lead to fulfil their potential.</t>
  </si>
  <si>
    <t>Yes, I think creativity is a core strength, particularly when it comes to problem solving and institutional innovation. My creativity manifests in my ability to engineer solutions at the confluence of disciplines such as deploying digital transformation strategies in traditional educational environments or utilising science communication to connect cultures.  To turn creativity into a successful public diplomacy strategy, I would execute a Science and Cultural Exchange Nexus. My approach to this, based on my experience as an academic and a multilingual manager,
would be:
Digital Knowledge-Sharing Platforms: Developing interactive, cross-border digital hubs for youth to collaboratively address scientific and social challenges, beyond geographical borders. Educational Tourism &amp; Language Taster Programs: Developing short-term, immersive cultural webinars that leverage localised storytelling to highlight mutual values between countries.Peer-to-Peer Mentorship Networks: Creating structured settings for young people with varied administrative and academic experiences to collaboratively develop community project blueprints. Leveraging my experience in data-driven reporting and structured management from my career as an Executive Director, this approach ensures that imaginative public diplomacy initiatives are not only creative, but measurable, sustainable, and capable of generating real and lasting international goodwill.</t>
  </si>
  <si>
    <t>Google</t>
  </si>
  <si>
    <t>johnlenon.aliser@g.msuiit.edu.ph</t>
  </si>
  <si>
    <t>Asrama Mahasiswa Internasional UNNES, Semarang City, Indonesia, Purok Lerio Brgy. Acmac Iligan City, Philippines, Semarang City, Indonesia</t>
  </si>
  <si>
    <t>+639300581978</t>
  </si>
  <si>
    <t>P0021211C</t>
  </si>
  <si>
    <t>+63952934274</t>
  </si>
  <si>
    <t>https://www.linkedin.com/in/johnlenon-aliser-460083366/</t>
  </si>
  <si>
    <t>N/A</t>
  </si>
  <si>
    <t>VALID PASSPORT.pdf</t>
  </si>
  <si>
    <t>aaa.JPG</t>
  </si>
  <si>
    <t>Sports Education</t>
  </si>
  <si>
    <t>Sports Development, Physical Education, Qualitative Research</t>
  </si>
  <si>
    <t>Universitas Negeri Semarang</t>
  </si>
  <si>
    <t>Indonesia</t>
  </si>
  <si>
    <t>https://msuiit.edu.ph/</t>
  </si>
  <si>
    <t>I used to work as secretary in Department of Physical Education, College of Education; Taekwondo Club Coach</t>
  </si>
  <si>
    <t>Almost 4 years (excluding my previous working experiences)</t>
  </si>
  <si>
    <t>Assistant Professor</t>
  </si>
  <si>
    <t>No, but as soon I got my PhD Degree in PE, I plan to organize an annual Youth Summit for Student- Athletes in Iligan City</t>
  </si>
  <si>
    <t>To foster leadership skills of young athletes in my local area; To strengthen collaboration and engagement among student-athletes, coaches, and sports leaders in Iligan City; To empower student-athletes to become active leaders in their schools and communities.</t>
  </si>
  <si>
    <t>Creative Writer, Researcher, Sports Development Advocate</t>
  </si>
  <si>
    <t>Curriculum Vitae 2026 - Aliser.pdf</t>
  </si>
  <si>
    <t>Changing the world may seem to be very ambitious. However, I believe that a meaningful change starts within our communities.  For the past few years, I have seen the importance of sports in positive youth development.  At the same time, I have also observed structural challenges and constraints that hinder athletes’ growth. As an educator and researcher, I am currently conducting a study that aimed to create a contextualized university sport vitality framework to support evidence-informed decision-making, institutional planning, and proposing intervention strategies.  This action is perceived to contribute to sustainable sports systems leading to active participation and positive change.</t>
  </si>
  <si>
    <t>From my perspective, it is fair to say that every country is diplomatically significant in its own way because each contributes to fostering international relations and cooperation. In ASEAN region, for example, cultural exchange, economic partnerships, and regional program initiatives demonstrate the value of diplomacy in addressing shared challenges. Regardless of a country’s size, political influence and economic power, every nation plays a crucial role in promoting healthy dialogue, mutual understanding, and peaceful coexistence. I believe that all nations are responsible for working together to create a more peaceful, safe, and sustainable future for their people and the global community.</t>
  </si>
  <si>
    <t>The role of youth in diplomacy is pivotal in bridging cultures and communities across nations. I believe that young people today can help articulate global challenges and promote mutual understanding through healthy dialogue, such platforms like the Young Public Diplomacy Summit.  I consider youth as “voices of revival” who can potentially help shape the future of international cooperation and global development. As an educator and researcher, I believe I have been involved in public diplomacy through my daily interactions with people I worked with within the community and academia. Currently,  as an international  at Universitas Negeri Semarang, Indonesia,  I have the opportunity to exchange my ideas , learn from others, and share my  unique Filipino experiences . This has also allowed me to participate in healthy conversations with people from diverse cultures and perspectives, strengthening my appreciation to intercultural dialogue and collaboration. Overall, I believe that public diplomacy is  not limited to formal relations between our governments. It also occurs  through daily conversations, shared experiences, and meaningful exchanges that create opportunities for  positive change.</t>
  </si>
  <si>
    <t>Passion is a drive that compels a person to pursue meaningful goals despite challenges  and setbacks. I describe passion as overflowing  sense of energy, excitement, and commitment , that enables  a person to keep striving, especially during the trying times.  As someone who seeks to improve the university sports systems through the development of contextualized sports vitality  framework, passion motivates me to continue learning, conducting research, and finding solutions to core issues that affect athletes, institutions, and communities. While I acknowledge that it may take some time to realize my long-term goals, I remain committed, persevering, and dedicated to the long process. Through these efforts, I believe that I can contribute to the advancement of  sport development and create positive impact on the lives of my fellow youth – perhaps, influencing the future.</t>
  </si>
  <si>
    <t>As an educator and researcher, I am expected to demonstrate creativity in my work, particularly when proposing sustainable interventions and meaningful solutions. Creativity enables me to generate new ideas, address existing gaps, and contribute to the advancement of knowledge. I apply creativity in designing learning experiences and exploring innovative approaches to improve sports development initiatives. As mentioned in the previous section, one example is my ongoing study on developing a contextualized sports vitality framework , which aims to give deeper understanding of practical and theoretical insights on improving  the university sports systems across eleven Mindanao State University campuses. 
This creativity can be transformed into effective public diplomacy strategy by creating platforms that will encourage dialogue, collaboration, and mutual understanding stakeholders. Through sports development initiatives, individuals from different backgrounds can come together to share perspectives, values, and experiences.  Such innovative approaches not only address the existing structural challenges  but also promote collaboration, inclusivity, and connection. In this way,  creativity can help make public diplomacy more relevant, participatory, and responsive to the needs of the youth.</t>
  </si>
  <si>
    <t>Philosophy, Media and Diplomacy in International Relations</t>
  </si>
  <si>
    <t>radia.chaouiabouhajjaj@um6p.ma</t>
  </si>
  <si>
    <t>ALMAZ GH05 immeuble G, ALMAZ GH05 immeuble G, Casablanca</t>
  </si>
  <si>
    <t>morocco</t>
  </si>
  <si>
    <t>+212661428355</t>
  </si>
  <si>
    <t>CF7868704</t>
  </si>
  <si>
    <t>+212664173133</t>
  </si>
  <si>
    <t>https://www.linkedin.com/in/radia-chaoui-85268b220/?skipRedirect=true</t>
  </si>
  <si>
    <t>WhatsApp Image 2026-06-02 at 12.48.16.jpeg</t>
  </si>
  <si>
    <t>9ADAD96B-A2E2-4EC4-96B3-453F28F77D5D_1_201_a.jpeg</t>
  </si>
  <si>
    <t>Global Affairs Master</t>
  </si>
  <si>
    <t>Global Affairs</t>
  </si>
  <si>
    <t>University Mohammed VI Polytechnic</t>
  </si>
  <si>
    <t>Yes. I have volunteered and engaged with several student and community-oriented initiatives. I supported an educational programme for students affected by the Al Haouz earthquake, providing mentoring, academic guidance and support to secondary school students. I also volunteered with Moroccan Smile, contributing to community-based engagement and social support activities.  At university, I was involved in the African ID Club, where I helped organize a Model African Union simulation, contributing to logistics, participant coordination and content preparation around African governance and diplomacy. I also served as co-editor of the first FGSES student magazine, contributing to article writing, editorial planning and the development of a student-led platform for ideas, culture and public debate.</t>
  </si>
  <si>
    <t>Volunteer, mentor, organizing member and co-editor.</t>
  </si>
  <si>
    <t>3–4 years.</t>
  </si>
  <si>
    <t>I founded the AGORA Club</t>
  </si>
  <si>
    <t>AGORA Club is a student-led debate and public speaking organization I co-founded at UM6P-FGSES. Its aim is to promote critical thinking, public speaking, civic engagement and informed dialogue on political, social and international issues among students.</t>
  </si>
  <si>
    <t>I have experience in community engagement, event coordination, protocol support, stakeholder communication, editorial writing, qualitative research and policy-oriented analysis. I am also skilled in public speaking, debate moderation, intercultural communication, teamwork and project coordination</t>
  </si>
  <si>
    <t>CSCD Radia Chaoui CV .pdf</t>
  </si>
  <si>
    <t>Yes. I believe changing the world does not always start with grand gestures, but with becoming responsible, curious and committed individuals who act with integrity in their own communities. Through Moroccan Smile, I helped distribute Ramadan food baskets to families in need, and after the Al Haouz earthquake, I supported students whose education had been disrupted. These experiences taught me that while I may not change the entire world at once, I can make a concrete difference in someone’s world through education, solidarity and consistent community engagement.</t>
  </si>
  <si>
    <t>If I understand the question as asking which country carries strong diplomatic significance today, I would choose my own country, Morocco. Morocco has increasingly become a meaningful diplomatic actor because of its position between Africa, Europe, the Arab world and the Atlantic space. Its influence is not only political or economic, but also cultural. The 2022 World Cup showed how football can become a powerful soft power instrument: Morocco’s historic performance created global visibility, pride and emotional connection far beyond its borders. Moroccan culture, food, hospitality, music, tourism and diaspora also contribute to this influence by making the country recognizable and appreciated internationally. For me, Morocco’s diplomatic significance lies in its ability to act as a bridge between regions while using culture, identity and human connection as tools of dialogue.</t>
  </si>
  <si>
    <t>I believe youth play an essential role in diplomacy because they are not only future decision-makers, but also present actors of dialogue, representation and intercultural understanding. Diplomacy is no longer limited to official negotiations between states; it also happens through exchanges between students, civil society, institutions and communities.
I understood this more clearly when I was selected as an official UM6P-FGSES delegate for the Youth of the World programme in Paris, in partnership with Sciences Po. During this academic diplomacy mission, we met with the Moroccan Ambassador, members of the French Senate, and representatives of several French institutions. In those moments, we were not diplomats in the formal sense, but we were representing our university, our country and our generation at our own level. This experience taught me that young people can contribute to diplomacy by asking questions, sharing perspectives, challenging stereotypes and building bridges between societies.
This is also how I relate to public diplomacy. For me, public diplomacy is the human and cultural side of international relations. It is about how countries and communities are perceived through dialogue, education, narratives, culture and people-to-people connections.</t>
  </si>
  <si>
    <t>To me, passion is the force that makes effort feel meaningful. I strongly relate to Albert Einstein’s quote: “I have no special talents. I am only passionately curious.” Passion is what pushes me to keep asking questions, even when the answers are complex or uncomfortable.
I experienced this deeply while working on my Master’s thesis on cultural appropriation in the fashion industry and its impact on indigenous and local communities. The more I researched this topic, the more I wanted to understand the ethical, cultural and legal dimensions behind it. Even when I was tired, my interest kept pushing me to read books, academic articles and hundred-page theses without feeling bored. I wanted to go further, refine my arguments and understand the communities behind the debate, not only the legal concepts. Passion therefore helps me achieve my goals because it gives me discipline, resilience and the desire to always do better.</t>
  </si>
  <si>
    <t>Yes, I consider myself a creative person, especially through writing, storytelling and the way I build narratives. For me, creativity is not only about producing art; it is also about finding the right words, images and angles to make people understand an idea, feel connected to it and remember it.
Writing has always been one of the ways I express myself best. Through academic work, editorial projects and public communication, I learned how to transform complex subjects into structured and meaningful narratives. Whether I am writing about cultural heritage, youth engagement, identity or international relations, I try to connect facts with human stories.
This can become an effective public diplomacy strategy because public diplomacy depends on how a message is framed and received. A good strategy is not only about promoting a country or an institution; it is about creating trust, emotional connection and mutual understanding. Through storytelling, cultural references, digital content, speeches, articles or campaigns, creativity can turn diplomatic messages into narratives that people can relate to. I believe my creativity can help build public diplomacy initiatives that are intellectually strong, culturally sensitive and emotionally engaging.</t>
  </si>
  <si>
    <t>I discovered CSCD around two years ago through its international youth diplomacy programmes and online platforms. I previously applied for the Dubai Summit and was accepted for a partially funded place, but I could not attend due to personal and financial reasons. Since then, I have continued to follow CSCD’s activities, as its focus on strategy, cultural diplomacy, public diplomacy and intercultural dialogue strongly aligns with my academic interests and future career goals. This motivated me to strengthen my profile and apply again with a clearer purpose for the Jakarta Summit.</t>
  </si>
  <si>
    <t>bhavyaagarwal474@gmail.com</t>
  </si>
  <si>
    <t>OP JINDAL GLOBAL UNIVERISTY, Sonipat, Sonipat, India</t>
  </si>
  <si>
    <t>+919981814877</t>
  </si>
  <si>
    <t>V4180132</t>
  </si>
  <si>
    <t>+918815168819</t>
  </si>
  <si>
    <t>https://www.linkedin.com/in/bhavya-agarwal-511861318?utm_source=share_via&amp;utm_content=profile&amp;utm_medium=member_ios</t>
  </si>
  <si>
    <t>c8240455-2410-420e-937a-0daf356d8869.jpeg</t>
  </si>
  <si>
    <t>a0837859-afaa-4391-b15c-8166e554fd64.jpeg</t>
  </si>
  <si>
    <t>Undergraduate</t>
  </si>
  <si>
    <t>BBA LLB (Hons)</t>
  </si>
  <si>
    <t>Law with International Relations</t>
  </si>
  <si>
    <t>OP Jindal Global University</t>
  </si>
  <si>
    <t>Yes. My research experience spans international humanitarian law, constitutional law, and socio-legal fieldwork. I have authored peer-reviewed pieces on manual scavenging and caste (Adrishya), international criminal justice (Nickel and Dimed), and am currently developing research abstracts for the JGLR Special Issue on AI &amp; Law and a project on decolonizing rights education (submitted to ICSSR-YSPS). I completed formal training in Understanding Research Methods at SOAS, University of London.</t>
  </si>
  <si>
    <t>Yes. I have volunteered with Matrachaya NGO (Indore) as Institutional Liaison &amp; Legal Coordinator, and founded NEVRUA, a youth-led organization in Indore working with local NGOs to provide life-skills education to children.”</t>
  </si>
  <si>
    <t>https://www.instagram.com/neruva_foundation?igsh=MWhycTE2ODJ6ang2Mg==</t>
  </si>
  <si>
    <t>I am the founder and a silent Partner, I facilitate legal coordination between the Individual nd other NGO’s in the area , review contracts, I also get sponsorship, I am the spokesperson.</t>
  </si>
  <si>
    <t>4</t>
  </si>
  <si>
    <t>To empower every child with the
confidence, skills, and mindset required
to navigate life successfully, regardless
of their background or circumstances.
What We Do
Neruva Foundation conducts interactive and activity-based sessions
designed to make learning enjoyable, practical, and impactful.
Our sessions focus on:
* Confidence Building
* Communication Skills
* Leadership Development
* Teamwork &amp; Collaboration
* Critical Thinking
* Creative Problem Solving
* Decision Making
* Goal Setting &amp; Vision Building
* Financial Awareness
* Kindness &amp; Positive Thinking
* Self-Belief &amp; Personal Growth</t>
  </si>
  <si>
    <t>Legal Research &amp; Drafting Legal research and case brief drafting across criminal, constitutional, and insolvency law; drafting of bail applications, SLPs, written submissions, and client advisories; experience with NCLT/NCLAT proceedings, CIRP, and IBC matters.  Advocacy &amp; Litigation Support Courtroom observation and trial strategy support; oral argument preparation; exposure to Supreme Court AOR practice and appellate procedure.  Academic Research &amp; Publishing Published research on international humanitarian law, manual scavenging and caste, and international criminal justice; ongoing IHL research under Judge Nancy Rios; formal training in research methodology (SOAS, University of London).  Moot Court &amp; Advocacy Oral advocacy and memorial drafting; semifinalist and Best Rookie Team, IAMOOT 2026; Special Recognition for Memorial and Best Witness, NUJS National Trial &amp; Advocacy Competition.  Editorial &amp; Content Leadership Editorial leadership for Nickel and Dimed (International &amp; Foreign Policy column); team management and content strategy for Adrishya special edition.  Leadership &amp; Project Management Led research and volunteer teams (5–6 members); coordinated cross-institutional initiatives (Jindal Policy Camp, Matrachaya NGO, NEVRUA); managed publication timelines and field research logistics.  Cross-Cultural &amp; Communication Skills Youth Ambassador experience (KL-YES, U.S. Department of State); international exchange facilitation (India–Germany); public speaking to diverse audiences.</t>
  </si>
  <si>
    <t>Bhavya Agarwal CV.pdf</t>
  </si>
  <si>
    <t>Yes — but I’ve learned change starts locally before it scales. As Institutional Liaison at Matrachaya NGO, I streamlined adoption compliance under CARA guidelines so vulnerable children reach families faster. I founded NEVRUA, mobilizing six students to teach life skills across three NGOs in Indore. My research on manual scavenging (Adrishya) moved beyond documentation  proposing an actionable policy framework for worker rehabilitation. I don’t believe in changing the world abstractly; I believe in fixing the specific, broken mechanism in front of me  one policy gap, one child’s case, one overlooked community  until the pattern shifts.</t>
  </si>
  <si>
    <t>India. As a bridge between the Global North and South, India navigates non-alignment, BRICS, and Quad memberships simultaneously — a balancing act few nations attempt. My own research exposed this tension directly: comparing global legal responses to Kyiv and Rafah revealed how geopolitical interest, not international law, often dictates outcomes. India’s diplomatic significance lies precisely here  its capacity to advocate for Global South priorities (equity, sovereignty, humanitarian law) while engaging great-power institutions on their own terms. In a fracturing multilateral order, countries that can speak both languages  power and principle matter most.</t>
  </si>
  <si>
    <t>Youth diplomacy is credibility without institutional baggage. As a KL-YES Scholar, I represented India to American audiences not as a government envoy, but as a peer  which made the exchange honest. That taught me Public Diplomacy’s real currency isn’t policy briefings; it’s trust built person-to-person, across difference.
I’ve since tried to embody that principle structurally. At the Inter-American Humanitarian Moot Court in Washington D.C., arguing before a simulated Inter-American Court, I represented not a government but victims learning that advocacy for the underrepresented is itself a diplomatic act. Facilitating the India–Germany exchange during my Winter School residency in Pali, Rajasthan, I translated rural governance realities into frameworks legible to European institutions, and vice versa.
Youth bring something states often can’t: the willingness to sit with complexity without needing to “win” the exchange. I relate to Public Diplomacy as translation work  making one country’s lived reality intelligible to another, without flattening it. It’s slower than traditional diplomacy, but more durable, because it builds constituencies of understanding rather than just agreements.</t>
  </si>
  <si>
    <t>Passion is sustained attention to something most people look away from. Mine surfaced researching manual scavenging in India  a practice legally banned since 2013, yet persisting because no one stayed with the problem long enough to fix implementation, not just legislation. That project took months of fieldwork, ethical interviews, and rewriting to get the framework right.
Passion isn’t intensity; it’s endurance. It’s what let me draft SLPs at the Supreme Court, build a case law compendium spanning Articles 7, 13, and 15 of the ACHR for IAMOOT, and still return to IHL research with Judge Nancy Rios after a full academic term. Motivation fades under deadline pressure; passion is what remains when the excitement wears off and the actual work  footnoting, redrafting, fact-checking begins. It’s the difference between starting something and finishing it well.</t>
  </si>
  <si>
    <t>Yes — though my creativity shows up as reframing, not performance. Co-creating a live four-actor script on property rights and the 44th Amendment taught me that constitutional history lands differently when it’s performed, not just read —audiences remember Kesavananda Bharati when they’ve watched it argued aloud.
That instinct shapes how I’d approach public diplomacy: the message matters less than the medium it travels through. As Co-Head of Nickel and Dimed’s foreign policy column, I didn’t just publish analysis  I curated underreported crises and rebuilt the visual strategy around them, lifting readership by 10%. That’s diplomacy too: deciding which stories get told, and how, so they actually reach people rather than circulating among specialists.
An effective public diplomacy strategy needs exactly this — creative reframing that makes complex geopolitics legible without distorting it. Legal literacy theatre, accessible long-form journalism, editorial curation  these aren’t soft skills adjacent to diplomacy; they’re the delivery mechanism diplomacy depends on. My creativity isn’t decorative. It’s the translation layer between institutional truth and public understanding.</t>
  </si>
  <si>
    <t>Public Diplomacy in 2026</t>
  </si>
  <si>
    <t>Gizelle Clevanka Atmadja</t>
  </si>
  <si>
    <t>gizcle31@uw.edu</t>
  </si>
  <si>
    <t>22502 57th ave W, Mountlake Terrace, WA 98043, Washington, United States</t>
  </si>
  <si>
    <t>4257613673</t>
  </si>
  <si>
    <t>683257812</t>
  </si>
  <si>
    <t>(+1) 206 532 8580</t>
  </si>
  <si>
    <t>www.linkedin.com/in/gizelle-clevanka-020738257</t>
  </si>
  <si>
    <t>Gizelleclevanka</t>
  </si>
  <si>
    <t>Gizelle Atmadja_US passport scan.pdf</t>
  </si>
  <si>
    <t>Screenshot 2026-07-11 at 9.39.58 PM.png</t>
  </si>
  <si>
    <t>Bachelor of Arts Degree</t>
  </si>
  <si>
    <t>Public Policy &amp; Governance (1); Public Health-Global Health (2)</t>
  </si>
  <si>
    <t>minor: Law, Society, Justice</t>
  </si>
  <si>
    <t>University of Washington</t>
  </si>
  <si>
    <t>University of Amsterdam</t>
  </si>
  <si>
    <t>Yes, I completed for my Honors class in University of Washington, I enrolled in class SPH 480: Research Methods in Public Health, where I developed and critiqued survey instruments, rewrote ambiguous and double-barreled questions, and selected appropriate interview and survey strategies to minimize bias. I also learned how to design data collection tools, apply validated survey methods, and improve the quality and accuracy of public health research. Other than that, currently conducting research in the university of Amsterdam as well.</t>
  </si>
  <si>
    <t>Permias Nasional ( Indonesian Students Association in the United States )</t>
  </si>
  <si>
    <t>https://permiasnasional.com</t>
  </si>
  <si>
    <t>Director of Organizational Development</t>
  </si>
  <si>
    <t>2.5 years</t>
  </si>
  <si>
    <t>Currently in the making of "Nusantara Health Bridge"</t>
  </si>
  <si>
    <t>Nusantara Health Bridge works to improve health education and access to community resources for underserved children, students, and families. The organization connects volunteers, healthcare professionals, students, and community organizations in Indonesia and the United States to create health education programs, mentorship opportunities, and community service projects</t>
  </si>
  <si>
    <t>Policy Advocate on Health Promotion, Public Health Researcher</t>
  </si>
  <si>
    <t>Gizelle C Atmadja_ Portfolio 2025-2026.pdf, Gizelle C. Atmadja_Resume Public Policy.docx</t>
  </si>
  <si>
    <t>At the age of 16, I began taking college credits in the United States, and then, my entire life shifted to the reason I chose to study Public Policy and Public Health as I wanted to understand why some communities receive more support than others and how systems can be improved. My long-term goal is to build my own foundation that responds to community needs through health education, access, and direct service. I have started taking steps by volunteering with children with disabilities, supporting underserved patients, teaching students, and helping with clean-water and youth programs. These experiences showed me that change needs both compassion and action. I want to turn what I learn into programs that create lasting impact.</t>
  </si>
  <si>
    <t>I believe Indonesia is one of the world’s most diplomatically significant countries because its diversity reflects many of the challenges and strengths of a globalized world. With hundreds of cultures, languages, and identities, Indonesia shows why inclusion and cultural understanding matter in leadership. It can also connect the Global South and North through ASEAN, international partnerships, and cultural diplomacy. Indonesia’s influence comes not only from political power, but also from its people, traditions, and values. Its experience with diversity, migration, digital growth, and social inequality gives Indonesia an important voice in global conversations about cooperation, equity, peace, and sustainable development.</t>
  </si>
  <si>
    <t>Young people have an important role in diplomacy because we often create connections before governments do. Through study, community work, digital platforms, and cultural exchange, youth can challenge stereotypes and help people understand one another. Public diplomacy is not only about official meetings. It is also about how people represent their country through everyday actions, conversations, and service. 
I relate to public diplomacy through my work with PERMIAS and the Indonesian community in the United States. I have helped connect student organizations, worked with Indonesian diplomatic missions, and shared my experiences with students preparing to study abroad. In these spaces, I learned that representing Indonesia means more than promoting culture. It also means listening to different experiences, including concerns about migration, identity, inequality, and belonging.
My studies in Public Policy and Public Health also shape how I view diplomacy. Global problems such as healthcare access, climate displacement, and digital inequality cannot be solved by one country alone. Youth can help by bringing fresh ideas and building cooperation across cultures. I hope to use my background to connect Indonesian and international communities while making sure that voices from vulnerable groups are included in global discussions and future decisions that matter.</t>
  </si>
  <si>
    <t>Passion is the reason I continue working toward a goal even when the path is difficult or unclear. My passion comes from seeing the needs of communities that are overlooked. It is why I chose to study Public Policy and Public Health. I want to understand both the systems that shape people’s lives and the support communities need.
My experiences with children with disabilities, underserved patients, Indonesian students, and rural clean-water projects have made this passion more personal. They taught me that meaningful change requires patience, responsibility, and long-term commitment. Passion helps me stay focused because it reminds me that my education has a purpose beyond earning a degree. My long-term goal is to create a foundation that connects health, education, and community action. Passion gives me the courage to begin with small steps now while continuing to learn how to build something that can create lasting and fair change.</t>
  </si>
  <si>
    <t>Yes, I consider myself creative because I enjoy turning difficult ideas into messages and activities that people can understand and connect with. In public diplomacy, creativity can make cultural exchange feel more personal instead of formal or distant.
I would create a youth-led campaign called “Many Stories, One Nusantara.” It would share short videos, photos, interviews, and community projects from Indonesians with different regional, cultural, religious, and personal backgrounds. The campaign would not present Indonesia as having only one identity. Instead, it would show how many identities can exist together while still creating a shared sense of belonging.
The project would also address stereotypes, digital bias, and unequal representation. Young people from Indonesia and other countries could join online conversations about health, migration, climate change, disability, and education. These discussions would be followed by small collaborative projects, such as health workshops or fundraising for clean water. My role would be to make sure the stories are respectful, accurate, and inclusive. I would also invite feedback from the communities being represented. This strategy would use Indonesia’s cultural diversity as a form of soft power while building trust through honest stories, shared learning, direct action, and meaningful cross-cultural relationships over time globally. With the help of CSCD, I hope to be able to achieve my goals with professional mentors leading me through my journey.</t>
  </si>
  <si>
    <t>Multicultural Management: Power Identity and Inclusion in a globalized world by Dr. Francisco Javier Álvarez-Torres</t>
  </si>
  <si>
    <t>Oluwademilade Valentina Oladipo</t>
  </si>
  <si>
    <t>migai.intl@outlook.com</t>
  </si>
  <si>
    <t>Alexandra Court, Orchid Road Lekki, Lagos Nigeria, Lekki, Nigeria</t>
  </si>
  <si>
    <t>Nigerian</t>
  </si>
  <si>
    <t>+2348130493833</t>
  </si>
  <si>
    <t>B04042233</t>
  </si>
  <si>
    <t>+234 8166 258 658</t>
  </si>
  <si>
    <t>Oladipo Oluwademilade  Valentina</t>
  </si>
  <si>
    <t>Oluwademiladeeeee</t>
  </si>
  <si>
    <t>Oladipo Oluwademilade Valentina</t>
  </si>
  <si>
    <t>Oluwademilade Passport.jpeg</t>
  </si>
  <si>
    <t>WhatsApp Image 2026-07-11 at 10.16.58 PM.jpeg</t>
  </si>
  <si>
    <t>Bsc Economics</t>
  </si>
  <si>
    <t>Economics</t>
  </si>
  <si>
    <t>Tansian University</t>
  </si>
  <si>
    <t>Nigeria</t>
  </si>
  <si>
    <t>Healthcare and Educational Research services involving students who want to study abroad</t>
  </si>
  <si>
    <t>Researcher</t>
  </si>
  <si>
    <t>2 years</t>
  </si>
  <si>
    <t>Educator and Researcher</t>
  </si>
  <si>
    <t>My goal is to empower students to gain meaningful international academic experiences that equip them with global knowledge, skills, and innovative approaches to contribute to Nigeria’s development. Through my work with Migai International, I have seen how access to reliable information and global opportunities can transform young people's futures.
I aim to support students in pursuing specialised education that aligns with Nigeria’s growth priorities, including tourism, healthcare, hospitality, aviation, agriculture, technology, and sustainable development. By encouraging knowledge transfer and the application of international best practices, I hope to contribute to a generation of skilled professionals who can create solutions, strengthen industries, and support economic growth in Nigeria.
Ultimately, my vision is to bridge global education opportunities with local impact by helping students become catalysts for positive change within their communities.</t>
  </si>
  <si>
    <t>Researcher, Educator, Content Creator and Speaker</t>
  </si>
  <si>
    <t>Oluwademilade_Oladipo CV.pdf</t>
  </si>
  <si>
    <t>Yes. I believe meaningful change begins with addressing challenges within our immediate communities. In my personal capacity, I founded Migai International, an education access and public information platform created to help students and families navigate international education opportunities through reliable information and guidance. I have used digital platforms to simplify complex processes, raise awareness about scholarships, and help young people make informed decisions about their academic futures. Through research, communication, and community engagement, I aim to reduce information barriers and empower individuals to access opportunities that can contribute to Nigeria’s social and economic development.</t>
  </si>
  <si>
    <t>I believe Nigeria is one of the most diplomatically significant countries in the world due to its population, economic potential, cultural influence, and strategic role in Africa. As Africa’s largest population and one of its largest economies, Nigeria plays an important role in regional stability, trade, peacekeeping, and international cooperation. Its influence extends through organisations such as the African Union and the United Nations. Beyond its resources, Nigeria’s young population presents opportunities for innovation, entrepreneurship, and sustainable development. Strengthening Nigeria’s global partnerships and human capital development can contribute significantly to Africa’s growth and its relationship with the wider world.</t>
  </si>
  <si>
    <t>Youth play an important role in diplomacy because they represent the future of global cooperation, innovation, and cross-cultural understanding. In an increasingly connected world, young people influence how nations interact through education, technology, entrepreneurship, social movements, and digital communication.
This is particularly significant for Nigeria, where young people represent a large and growing proportion of the population. As Nigeria’s future workforce, innovators, and global representatives, Nigerian youth have the potential to shape the country’s economic development, international relationships, and global image. However, achieving this requires access to knowledge, skills, and opportunities that encourage responsible global engagement.
I relate strongly to the idea of public diplomacy because my work with Migai International focuses on using information and communication to connect young people with global education opportunities. By sharing accurate information about international study pathways, scholarships, and cultural exchange, I help create bridges between individuals, institutions, and countries. I believe education is one of the strongest forms of public diplomacy because it enables people from different backgrounds to develop mutual understanding and build lasting international relationships.
As a young Nigerian, I see my role as contributing to a more informed and globally connected generation. By empowering students with knowledge and encouraging responsible engagement with international opportunities, I hope to strengthen cross-cultural relationships and contribute to Nigeria’s positive representation on the global stage.</t>
  </si>
  <si>
    <t>Passion is the strong sense of purpose and commitment that motivates individuals to pursue meaningful goals, even when challenges arise. For me, passion is the desire to create opportunities and contribute to positive change through knowledge, education, and empowerment.
My passion for improving access to reliable educational opportunities has guided my journey from studying Economics to establishing an educational Platform, where I help students and families better understand international education pathways. This passion has encouraged me to continuously learn, research, communicate, and develop solutions that address information barriers faced by young people.
Passion helps me achieve my goals by providing the motivation, resilience, and dedication needed to turn ideas into action. It keeps me focused on my long-term vision of supporting youth development, strengthening global connections, and contributing to Nigeria’s growth through education, skills development, and knowledge transfer.</t>
  </si>
  <si>
    <t>Yes, I consider myself a creative person, especially in the way I communicate ideas and connect with people. I believe creativity is not only about creating something visually appealing but also about finding effective ways to deliver messages that inspire understanding and action.
Through my work on Social Platforms, I apply creativity every day when developing educational content for students and families interested in international opportunities. Although the information I share is valuable and can benefit a wide audience, I understand that how a message is presented determines whether people engage with it. I therefore think strategically about the structure, language, visuals, and storytelling approach of each piece of content to ensure that my audience remains interested and receives the intended message.
This ability to combine creativity with strategy can be transformed into an effective public diplomacy approach by helping organisations and countries communicate their values, culture, and opportunities in ways that resonate with diverse audiences. Through digital storytelling, educational campaigns, and authentic engagement, creative communication can build trust, encourage cross-cultural understanding, and strengthen relationships between communities and nations.</t>
  </si>
  <si>
    <t>A friend Referal</t>
  </si>
  <si>
    <t>akhila9496993709@gmail.com</t>
  </si>
  <si>
    <t>House Name: 'Akhila' Sreenagar, 61/A Vadakkevilla P.O, kollam, India</t>
  </si>
  <si>
    <t>09496993709</t>
  </si>
  <si>
    <t>U3365318</t>
  </si>
  <si>
    <t>9447065709</t>
  </si>
  <si>
    <t>www.linkedin.com/in/akhila-chandran-5279721a0</t>
  </si>
  <si>
    <t>InShot_20220112_231506705__01.jpg</t>
  </si>
  <si>
    <t>IMG_20230725_012517_081.jpg</t>
  </si>
  <si>
    <t>Multimedia Journalism</t>
  </si>
  <si>
    <t>Sheffield Hallam University</t>
  </si>
  <si>
    <t>United Kingdom</t>
  </si>
  <si>
    <t>Fashion Content Writer</t>
  </si>
  <si>
    <t>Journalism, Research writing, Interviewing, Data Analysis,Multimedia Storytelling</t>
  </si>
  <si>
    <t>AKHILA CHANDRAN- FINAL ATS FORMAT- CV.pdf</t>
  </si>
  <si>
    <t>Oftentimes when I think about changing the world, I realise that it takes more than just one single thought to do. Especially when it comes to fighting for something big. I often think about the term revolutionise when I think about aspects of change. But fighting the power dynamics and implementing small steps come with great efforts and understanding. Understanding loopholes and working on effective models for improvement can achieve something big in the long run.</t>
  </si>
  <si>
    <t>A country that is developed and holds power in economics, Foreign relations, and trade can be called as diplomatically significant.</t>
  </si>
  <si>
    <t>I think the role of youth comes with asking the difficult questions and creating a momentum for these through social media and other communication channels like activism and healthy protest. I think we should also cultivate the habit of asking difficult questions so that certain things can be addressed.</t>
  </si>
  <si>
    <t>I think passion is directly proportional to goals. I think for life to become less lethargic, building routines that can slowly become a way to our passion is also important. Rather than working on forced goals, it's important to work on goals that hold personal value so that achieving them can become rich and fulfilling.</t>
  </si>
  <si>
    <t>For a strategist to work on something, building campaigns and identifying good NGOs that work towards the same goal collectively is important. Finding small social groups that are already working on similar projects, working for small changes, can sometimes bring good results. This will also help in identifying the loopholes.</t>
  </si>
  <si>
    <t>Threads</t>
  </si>
  <si>
    <t>Philosophy, Arts, Culture, Softpower</t>
  </si>
  <si>
    <t>botskjikuzone@gmail.com</t>
  </si>
  <si>
    <t>1-20-11, Nakano, Naknoku, Tokyo, Japan</t>
  </si>
  <si>
    <t>Japanese</t>
  </si>
  <si>
    <t>+818044605648</t>
  </si>
  <si>
    <t>TT2797003</t>
  </si>
  <si>
    <t>+81-80-3702-4274</t>
  </si>
  <si>
    <t>Passport photo_Kohki Enomoto.jpg</t>
  </si>
  <si>
    <t>Kohki Enomoto Photo.pdf</t>
  </si>
  <si>
    <t>Master in Public Policy</t>
  </si>
  <si>
    <t>Public Policy</t>
  </si>
  <si>
    <t>Peking University</t>
  </si>
  <si>
    <t>Royal United Services Institute</t>
  </si>
  <si>
    <t>https://www.rusi.org/</t>
  </si>
  <si>
    <t>Intern</t>
  </si>
  <si>
    <t>less than 1 year</t>
  </si>
  <si>
    <t>Gueat Reasercher and Private fellow</t>
  </si>
  <si>
    <t>Academic Research, Policy Analysis</t>
  </si>
  <si>
    <t>Kohki Enomoto_Curriculum vitae.pdf</t>
  </si>
  <si>
    <t>I believe changing the world starts with preventing conflicts that destabilize it. Recognizing the growing threat of cognitive warfare, I committed myself to enhancing Indo-Pacific security. In my personal capacity, I transitioned from the Japanese Ministry of Foreign Affairs and Nomura Securities to independent research in Taiwan and Japan. By publishing analyses on cross-strait dynamics and a potential Taiwan contingency, I strive to bridge academic theory and practical statecraft. Additionally, I rigorously study English and Chinese to foster objective, cross-cultural dialogues, aiming to replace misinformation with mutual understanding and peace.</t>
  </si>
  <si>
    <t>I believe Japan is currently one of the most diplomatically significant countries in the world. Positioned at the strategic crossroads of the Indo-Pacific, Japan serves as a critical linchpin for regional stability and democratic alliances. Amidst rising geopolitical tensions and the growing threat of cognitive warfare, Japan's proactive diplomacy is essential in preventing a Taiwan contingency. By bridging Western security frameworks with Asian economic realities, Tokyo plays a unique, stabilizing role. Furthermore, Japan's evolution from a pacifist economic powerhouse to a primary stakeholder in global security makes its diplomatic maneuvers pivotal for maintaining the rules-based international order.</t>
  </si>
  <si>
    <t>Traditional diplomacy often struggles to keep pace with modern hybrid threats. Today, the youth’s role in diplomacy is to act as agile, digital-native ambassadors who build genuine, grassroots networks. Youth can foster cross-cultural trust and counter the rapid spread of misinformation—particularly in the realm of cognitive warfare—where official state channels are often restricted or too slow to react.
My connection to Public Diplomacy stems directly from my career trajectory. Having worked at the Japanese Ministry of Foreign Affairs, I understand the rigidities of formal statecraft. I view Public Diplomacy as the essential bridge connecting government policy with civil society. Now, as a researcher stationed between Taiwan and Japan focusing on Indo-Pacific security, my daily work is fundamentally an exercise in public diplomacy.
I analyze cognitive operations and share these insights to build societal resilience against manipulation. Furthermore, I am rigorously advancing my English and Chinese proficiency to facilitate direct, objective dialogues between diverse populations. To me, public diplomacy is not merely soft power; it is a vital, proactive tool for conflict prevention and establishing mutual understanding in an increasingly polarized world.</t>
  </si>
  <si>
    <t>Passion is not merely temporary enthusiasm; it is the resilient, unwavering commitment to a purpose, especially when facing complex challenges.
In my life, passion is the engine that drove my transition from the stability of the Japanese Ministry of Foreign Affairs and Nomura Securities to the demanding frontier of independent geopolitical research. Analyzing Indo-Pacific security, a potential Taiwan contingency, and cognitive warfare requires navigating immense political sensitivities and dense data.
Furthermore, passion sustains my daily discipline. It is the reason I dedicate years to mastering English and Chinese, knowing these languages are essential tools for facilitating objective, cross-cultural dialogue. When the intricacies of international relations seem insurmountable, passion transforms exhaustion into focus. It reminds me of my ultimate goal: to build societal resilience against misinformation, prevent conflict, and foster genuine peace in a multipolar world.</t>
  </si>
  <si>
    <t>Yes, my creativity is rooted in conceptual synthesis and interdisciplinary thinking. Rather than traditional arts, I apply creativity to geopolitical analysis. For example, in my research on modern cognitive warfare and intelligence operations, I often draw unexpected parallels to historical frameworks—such as comparing contemporary psychological tactics to the strategic principles of traditional religious groups. This out-of-the-box approach allows me to decode complex, opaque security threats.
I turn this analytical creativity into an effective public diplomacy strategy through narrative translation. Traditional international relations discourse is often overly academic and inaccessible to the general public. My strategy is to transform dense data regarding Indo-Pacific security and cross-strait dynamics into compelling, culturally resonant stories.
By leveraging my advancing proficiency in English and Chinese, I can bypass bureaucratic jargon and engage civil societies directly. An effective public diplomacy strategy must capture hearts and minds before official policies are drafted. By creatively framing the invisible realities of cognitive warfare in terms that resonate with everyday people, I empower grassroots resilience against misinformation. This culturally nuanced, narrative-driven approach bridges the gap between academic theory and public awareness, fostering genuine mutual understanding across borders.</t>
  </si>
  <si>
    <t>Public Diplomacy in the 21 century</t>
  </si>
  <si>
    <t>Rahim NiiOkai Mettle</t>
  </si>
  <si>
    <t>Mettle Rahim Nii Okai</t>
  </si>
  <si>
    <t>muftispecter20@gmail.com</t>
  </si>
  <si>
    <t>AK-317-2344, Kumasi, Ghana</t>
  </si>
  <si>
    <t>Ghanaian</t>
  </si>
  <si>
    <t>+233245723834</t>
  </si>
  <si>
    <t>G3860140</t>
  </si>
  <si>
    <t>+233543032805</t>
  </si>
  <si>
    <t>Rahim Mettle</t>
  </si>
  <si>
    <t>passport.jpg</t>
  </si>
  <si>
    <t>Mettle Rahim Photo.png</t>
  </si>
  <si>
    <t>Environmental Science</t>
  </si>
  <si>
    <t>Green Environment</t>
  </si>
  <si>
    <t>Kwame Nkrumah University of Science and Technology</t>
  </si>
  <si>
    <t>Ghana</t>
  </si>
  <si>
    <t>Ghana Muslim Students Association</t>
  </si>
  <si>
    <t>https://web.facebook.com/profile.php?id=100088791565095</t>
  </si>
  <si>
    <t>Vice President</t>
  </si>
  <si>
    <t>10</t>
  </si>
  <si>
    <t>Logistics and Warehouse Manager</t>
  </si>
  <si>
    <t>Enrolling SHS students into knowledge of tertiary eduaction</t>
  </si>
  <si>
    <t>Writer, Administrator, Critical Thinker and Creative Problem Solving</t>
  </si>
  <si>
    <t>Academic_CV_Rahim_Mettle_2025.pdf</t>
  </si>
  <si>
    <t>Yes I Have, though I've learned change starts small and local. In 2020, leading nine national-service colleagues, I reclaimed five acres of mining-degraded government land in Amansie Central using Mucuna pruriens, a nitrogen-fixing cover crop. Within three months, stripped topsoil regained full ground cover and microbial life; GhanaWeb and Angel Online documented it. I didn't wait for funding or permission — I tested a low-cost idea and proved it worked. Alongside this, I've mentored 436 young Ghanaians through leadership camps. My conviction: a single restored acre, a single trained student, becomes a model others can scale.</t>
  </si>
  <si>
    <t>Ghana is a great country and I say that as more than national pride. Ghana punches above its weight diplomatically: it hosts the African Continental Free Trade Area Secretariat in Accra, placing it at the centre of a market of over 1.3 billion people. Kwame Nkrumah made Ghana the birthplace of Pan-Africanism, and its record of peaceful democratic transitions and UN peacekeeping gives it rare moral authority in a volatile region. The "Year of Return" turned history into soft power. For me, Ghana proves diplomatic weight isn't measured only in economy or arms, but in ideas, stability, and the courage to convene.</t>
  </si>
  <si>
    <t>Youth are not diplomacy's future. we are its most credible present. Governments negotiate treaties, but it is young people who carry ideas across borders, translate policy into action on the ground, and build the trust that formal diplomacy often cannot reach. In a world fractured by conflict and climate stress, we are the demographic with both the stake and the energy to act.
I relate to public diplomacy not as theory but as practice. As Vice President of Ghana's Muslim Students Association, I organised an eight-day camp training 436 young Ghanaians in leadership and entrepreneurship — quiet nation-building through people. Through Direct Aid Ghana, I coordinate humanitarian logistics that carry goodwill into underserved communities. And when my team reclaimed five acres of mining-degraded land using a simple cover crop, we weren't just restoring soil — we were showing that Ghanaian ingenuity offers the world a low-cost model worth exporting.
That, to me, is public diplomacy: representing your nation through what you build and who you lift, not just what you say. I want to bring the Global South's environmental and youth voice into rooms where it is too often absent — and carry those connections home.</t>
  </si>
  <si>
    <t>Passion, to me, is what keeps you working when no one is watching and no one is paying. It is conviction that outlasts convenience.
I discovered mine in a field of ruined soil. When my team stood on five acres of mining-stripped land in Amansie Central, most people saw waste; I saw a question worth answering. We had no budget — only a cheap cover crop, Mucuna pruriens, and the belief that degraded land could live again. Three months later, it did.
That is how passion serves my goals: it turns scarcity into method. It made me lead 436 students through a leadership camp without funding, and coordinate humanitarian logistics for communities others overlook. Passion gives me patience for slow, unglamorous work — restoring soil, mentoring youth, building evidence. Talent opens doors, but passion is what carries you through the years of effort before anyone claps.</t>
  </si>
  <si>
    <t>Yes.Though my creativity shows less in art than in solving problems others walk away from. To me, creativity is seeing possibility where others see a dead end. When my team faced five acres of ruined mining land with no budget, the conventional response was to abandon it. I chose an unconventional one: Mucuna pruriens, a humble nitrogen-fixing bean, reimagined as a restoration tool. Solving a costly problem with a simple, overlooked resources. That is creative thinking in its most useful form.
I am also a creator publicly. I teach, design, and produce educational content that turns complex ideas into forms young people actually engage with.
I would channel this into public diplomacy through storytelling and replicable models. Africa's environmental solutions are rarely heard abroad,not because they lack value, but because they lack narrators. My strategy: package grassroots successes like the Mucuna project into simple, visual, shareable stories that cross borders and invite collaboration. Modern diplomacy is won through attention and trust, and both are earned by compelling narrative, not press releases.
I want to be a bridge — carrying Ghana's low-cost, community-driven ideas into global rooms, and bringing partnerships home. Creativity makes people care about places they've never seen.</t>
  </si>
  <si>
    <t>Asa Rafiq</t>
  </si>
  <si>
    <t>Asa Mohammed Rafiq</t>
  </si>
  <si>
    <t>asa.mohammed@gmail.com</t>
  </si>
  <si>
    <t>Tawer City/ Mail Mahmood Road</t>
  </si>
  <si>
    <t>+9647709741360</t>
  </si>
  <si>
    <t>B47650223</t>
  </si>
  <si>
    <t>d08846b3-27a7-4e87-bf44-9679cf3e574c.jpeg</t>
  </si>
  <si>
    <t>CamScanner 1-15-26 20.43.jpg</t>
  </si>
  <si>
    <t>Bachelor's Degree</t>
  </si>
  <si>
    <t>Bachelor of Pharmacy (B.Pharm)</t>
  </si>
  <si>
    <t>Pharmacy</t>
  </si>
  <si>
    <t>Amman Al Ahliyya University</t>
  </si>
  <si>
    <t>Jordan</t>
  </si>
  <si>
    <t>Shar Hospital</t>
  </si>
  <si>
    <t>https://shar-hospital.com/</t>
  </si>
  <si>
    <t>Volunteer Pharmacist</t>
  </si>
  <si>
    <t>3 years</t>
  </si>
  <si>
    <t>Pharmacist Supervisor at Naz Pharmacy</t>
  </si>
  <si>
    <t>Asa_Mohammed_Rafiq_CV.docx.pdf</t>
  </si>
  <si>
    <t>Changing the world does not always require grand gestures. Throughout my career as a pharmacist, I have learned that meaningful change begins by improving the lives of others. Every day, I support patients during some of the most difficult moments of their lives by explaining their medications, answering their questions, and helping them feel confident about their treatment. I also encourage my family, friends, and community to rely on accurate health information rather than misinformation. These experiences have shown me that lasting impact is built through compassion, trust, and education, and I hope to expand that impact by collaborating with young leaders from around the world.</t>
  </si>
  <si>
    <t>Switzerland has earned a unique place in global diplomacy through its long-standing commitment to neutrality, humanitarian values, and peaceful dialogue. Rather than relying on political influence alone, it has become a trusted platform where countries can negotiate, cooperate, and work toward resolving conflicts. This approach resonates with me because my work as a pharmacist has taught me that trust, empathy, and clear communication are often the foundation of solving complex problems. Switzerland demonstrates that lasting influence comes from credibility, respect, and a genuine commitment to serving humanity—qualities that every future leader should strive to embody.</t>
  </si>
  <si>
    <t>Young people are uniquely positioned to shape the future of diplomacy. Their openness to new ideas, willingness to collaborate, and ability to connect across cultures make them powerful ambassadors for mutual understanding. In today's interconnected world, diplomacy is no longer limited to governments; it is also practiced by individuals who build trust, encourage dialogue, and create meaningful relationships between communities.
Working as a pharmacist has given me a practical understanding of these principles. Many patients arrive worried about their medications or influenced by inaccurate health information. Instead of simply dispensing medicine, I take time to listen, understand their concerns, and explain their treatment in clear and reassuring language. Watching fear turn into confidence after an honest conversation has taught me that communication can be just as important as medicine itself.
This experience shapes how I understand public diplomacy. Before solving problems, we must first build trust, respect different perspectives, and create space for open dialogue. Whether in healthcare or international cooperation, meaningful progress begins with empathy and understanding.
By participating in the Young Public Diplomacy Summit, I hope to exchange ideas with young leaders from diverse backgrounds, strengthen my intercultural communication skills, and contribute my healthcare perspective to discussions on global cooperation. Lasting diplomacy begins when people choose dialogue over division and collaboration over misunderstanding.</t>
  </si>
  <si>
    <t>Passion is the determination to continue serving others with dedication, even when the work is demanding. It provides the motivation to keep learning, improve continuously, and remain committed to making a positive difference.
One experience that strengthened this passion took place while I was working in the emergency department. A young child was brought to the hospital as the parents waited anxiously for news. As I prepared the medications and watched the healthcare team respond with urgency and compassion, I realized that our responsibility extended far beyond treating illness. We were restoring hope during one of the family's most difficult moments. Seeing the relief on the parents' faces reminded me why I chose this profession.
That experience continues to inspire me to develop my knowledge, leadership, and communication skills. It is also why I am applying to the Young Public Diplomacy Summit to learn how I can extend my commitment to serving people beyond healthcare and contribute to stronger understanding between communities.</t>
  </si>
  <si>
    <t>Creativity is not only about developing new ideas; it is also about finding better ways to communicate, solve problems, and connect with people. Throughout my career in healthcare, creativity has meant adapting my approach to meet each patient's needs and explaining complex medical information in simple, practical ways that empower them to make informed decisions.
Beyond my professional work, I volunteer in healthcare settings and enjoy supporting pharmacy students by sharing practical knowledge and encouraging them to grow with confidence. These experiences have taught me that meaningful communication requires empathy, patience, and the ability to understand different perspectives.
These same qualities can become an effective public diplomacy strategy. Whether promoting health awareness, participating in community initiatives, or engaging in international exchanges, creativity helps build trust and encourages meaningful dialogue between people from different cultures. By combining professional knowledge with empathy and collaboration, I hope to create opportunities where young people can learn from one another, exchange ideas, and work together to address shared challenges.
Strong public diplomacy is ultimately built on genuine human connections, and creativity is one of the most powerful tools for creating those connections across cultures and communities.</t>
  </si>
  <si>
    <t>The official website</t>
  </si>
  <si>
    <t>Ezz Al-Din Hamed</t>
  </si>
  <si>
    <t>ezzrashed40@gmail.com</t>
  </si>
  <si>
    <t>turkey, istanbul, istanbul, kayaşehir, istanbul, Türkiye</t>
  </si>
  <si>
    <t>Palestinian</t>
  </si>
  <si>
    <t>+90 5528670574</t>
  </si>
  <si>
    <t>T1407627</t>
  </si>
  <si>
    <t>+970 595 037 062</t>
  </si>
  <si>
    <t>https://www.linkedin.com/in/ezzaldinhamed/</t>
  </si>
  <si>
    <t>https://instagram.com/ezzaldinhamed</t>
  </si>
  <si>
    <t>https://www.facebook.com/ezzaldin.hamed.1</t>
  </si>
  <si>
    <t>جواز_السفر.pdf</t>
  </si>
  <si>
    <t>Resim3.jpg</t>
  </si>
  <si>
    <t>engineering</t>
  </si>
  <si>
    <t>Computer Engineering</t>
  </si>
  <si>
    <t>Bartın Üniversitesi</t>
  </si>
  <si>
    <t>Türkiye</t>
  </si>
  <si>
    <t>fodern org</t>
  </si>
  <si>
    <t>https://fodern.org</t>
  </si>
  <si>
    <t>The association's representative at my university</t>
  </si>
  <si>
    <t>ezzaldinhamedcv.pdf</t>
  </si>
  <si>
    <t>Yes. I believe changing the world begins with building solutions and serving people around us. As a Palestinian computer engineer and machine learning engineer, I used my technical skills to develop AI projects such as smart surveillance, educational language models, and Arabic TTS tools. Beyond technology, I served as President of the Palestinian Students Association at my university during the recent Gaza war, organizing student activities, raising awareness, supporting Palestinian students, and creating a space for dialogue, solidarity, and responsible representation. This experience taught me that impact is not only about ideas, but about consistent action.</t>
  </si>
  <si>
    <t>I believe Türkiye is one of the most diplomatically significant countries in the world. Its unique location between Asia and Europe gives it a strategic role in regional and global dialogue. Türkiye connects different cultures, political systems, economies, and historical identities. It has influence in the Middle East, the Balkans, the Caucasus, Central Asia, and the Mediterranean. For me, as a Palestinian student living and studying in Türkiye, I see how the country hosts international students, humanitarian initiatives, and cross-cultural communities. Türkiye’s diplomatic strength comes from its ability to act as a bridge between nations, cultures, and global conversations.</t>
  </si>
  <si>
    <t>Youth play a vital role in diplomacy because they are not only future leaders, but also active voices in today’s global conversations. Young people can build bridges across cultures through education, technology, volunteering, media, and community leadership. They are often more open to dialogue, innovation, and cooperation across borders.
I relate strongly to public diplomacy because my own experience combines technology, identity, and community service. As a Palestinian computer engineer in Türkiye, I have learned that representation is not limited to official institutions. It also happens through student leadership, cultural activities, digital communication, and responsible storytelling. During my leadership in the Palestinian Students Association at my university, especially after the recent Gaza war began, I understood how important it is to communicate a people’s story with dignity, accuracy, and humanity.
Public diplomacy, to me, means creating understanding between societies. My goal is to use artificial intelligence, digital platforms, and youth networks to support education, counter harmful narratives, and promote dialogue between communities.</t>
  </si>
  <si>
    <t>Passion is the inner energy that pushes a person to continue even when circumstances are difficult. It is more than interest; it is a deep commitment to a purpose.
Passion helps me achieve my goals because it gives meaning to my work. It motivated me to build machine learning projects, publish open-source AI models, and keep learning despite challenges. It also guided my student leadership activities, where I represented Palestinian students and supported community initiatives. When passion is connected to discipline, it becomes a strong force for impact.</t>
  </si>
  <si>
    <t>Yes, I consider myself a creative person because I try to connect different fields that are not usually combined: artificial intelligence, youth leadership, cultural identity, and public diplomacy. Creativity, for me, is not only about producing new ideas, but about turning limited resources into meaningful solutions.
An effective strategy could combine short digital storytelling, youth-led campaigns, AI-assisted multilingual content, and cultural events that introduce people to Palestinian identity, student experiences, and shared human values. This approach would not only raise awareness, but also build empathy, dialogue, and long-term connections between communities.</t>
  </si>
  <si>
    <t>Friend referred</t>
  </si>
  <si>
    <t>OSMAN Yildirim</t>
  </si>
  <si>
    <t>OSMAN YİLDİRİM</t>
  </si>
  <si>
    <t>osamalkaoud@gmail.com</t>
  </si>
  <si>
    <t>Jawhara albayan, Aukasha street, Shawqia, mecca, Mecca, Saudi Arabia</t>
  </si>
  <si>
    <t>Turkish</t>
  </si>
  <si>
    <t>+966565619809</t>
  </si>
  <si>
    <t>U24885234</t>
  </si>
  <si>
    <t>https://www.facebook.com/share/1Eq69SR9wK/?mibextid=wwXIfr</t>
  </si>
  <si>
    <t>f668f397-751d-440b-b7e2-8d9764c62e73.jpeg</t>
  </si>
  <si>
    <t>662fd751-6867-4abd-9a68-853608a2a4dc.jpeg</t>
  </si>
  <si>
    <t>Bechalors</t>
  </si>
  <si>
    <t>Mechatronincs</t>
  </si>
  <si>
    <t>Near East university</t>
  </si>
  <si>
    <t>Cyprus</t>
  </si>
  <si>
    <t>Mansourh University/ Egypt</t>
  </si>
  <si>
    <t>https://yiad.org</t>
  </si>
  <si>
    <t>Public Relations Manager</t>
  </si>
  <si>
    <t>8 years</t>
  </si>
  <si>
    <t>Jewar</t>
  </si>
  <si>
    <t>Public relations</t>
  </si>
  <si>
    <t>OSMAN ALKAOUD CV.pdf</t>
  </si>
  <si>
    <t>Yes. I have always believed that changing the world begins with changing one person at a time. This belief has inspired me to volunteer in community initiatives and use my experience to train and mentor individuals to become positive contributors to society. I focus on promoting personal development, ethical values, and practical skills that enable people to overcome challenges and create positive change in their communities. I also support charitable efforts that assist vulnerable groups, including the poor, the needy, and disadvantaged families. While my contribution may be small, I believe that every positive action inspires others and creates a ripple effect that leads to meaningful and lasting change.</t>
  </si>
  <si>
    <t>I believe Türkiye is one of the world’s most diplomatically significant countries because of its unique position connecting Europe and Asia. This geographical and cultural bridge enables Türkiye to facilitate dialogue between different regions, cultures, and political perspectives. Over the years, it has played an active role in mediation, humanitarian assistance, and regional cooperation, demonstrating the importance of diplomacy in addressing global challenges. I admire Türkiye’s ability to engage with diverse international partners while promoting dialogue and collaboration. In today’s interconnected world, countries that encourage communication, peaceful negotiation, and mutual understanding make a meaningful contribution to global stability and international cooperation.</t>
  </si>
  <si>
    <t>Young people are powerful ambassadors for dialogue, innovation, and mutual understanding. Their ability to connect across cultures and embrace new ideas makes them essential contributors to modern diplomacy. Public diplomacy is not limited to governments; it is also about how individuals build trust, encourage dialogue, and represent their communities through meaningful actions.
My experience in public relations within charitable organizations has given me practical exposure to public diplomacy. I worked on building relationships with partners, coordinating community initiatives, and communicating messages that encouraged collaboration and social responsibility. I also trained individuals in communication, leadership, and interpersonal skills, believing that empowering people creates stronger and more connected communities.
These experiences taught me that diplomacy begins with listening, respecting different perspectives, and finding common ground. Whether interacting with local communities or people from different cultural backgrounds, I strive to promote understanding rather than division.
I see public diplomacy as a bridge between people, cultures, and institutions. My goal is to use my communication skills, community engagement experience, and passion for service to foster dialogue, strengthen international cooperation, and contribute to a more peaceful and inclusive world</t>
  </si>
  <si>
    <t>Passion is the force that transforms responsibility into commitment and ideas into meaningful action. For me, passion means serving people, building strong relationships, and helping others realize their potential.
Throughout my career in public relations and charitable work, I discovered that meaningful communication can inspire positive change. This inspired me to train individuals in communication, leadership, and personal development, enabling them to contribute more effectively to their communities.
My passion keeps me motivated to learn, improve, and overcome challenges. It encourages me to approach every opportunity with dedication, curiosity, and a desire to make a lasting impact. I believe that success is not measured only by personal achievements but also by the positive influence we have on others. Passion gives me the resilience to pursue my goals while remaining committed to serving society and creating opportunities for growth and collaboration.</t>
  </si>
  <si>
    <t>Yes, I consider myself a creative person because I enjoy finding practical solutions that bring people together and create a positive impact. Creativity, in my view, is not only about generating new ideas but also about communicating them in ways that inspire trust, cooperation, and meaningful action.
My experience in public relations within charitable organizations taught me how to engage diverse stakeholders, build long-term partnerships, and communicate messages that encourage community participation. In addition, I have trained individuals in communication, leadership, and personal development, helping them become more confident and effective in serving their communities.
I believe these experiences can be transformed into an effective public diplomacy strategy by using communication as a bridge between cultures. I would focus on storytelling, community engagement, youth-led initiatives, and intercultural dialogue to promote mutual understanding and respect. Social media, educational programs, and volunteer projects can also be powerful tools for connecting people across different backgrounds.
An effective public diplomacy strategy should build relationships before promoting ideas. By listening, respecting cultural diversity, and encouraging collaboration, I hope to contribute to stronger international partnerships and a more peaceful, inclusive, and connected global community.</t>
  </si>
  <si>
    <t>Public relations and diplomacy</t>
  </si>
  <si>
    <t>Halbast Karim</t>
  </si>
  <si>
    <t>Halbast Abdullah Karim</t>
  </si>
  <si>
    <t>nwakarim123@gmail.com</t>
  </si>
  <si>
    <t>Azmar Area, Sulaymaniyah, Iraq</t>
  </si>
  <si>
    <t>+9647711558764</t>
  </si>
  <si>
    <t>A19153349</t>
  </si>
  <si>
    <t>+9647708003608</t>
  </si>
  <si>
    <t>https://www.linkedin.com/in/halbast-abdulah-0178b487?originalSubdomain=iq</t>
  </si>
  <si>
    <t>https://www.facebook.com/share/1GstVxZhXn/?mibextid=wwXIfr</t>
  </si>
  <si>
    <t>Passport (Halbast Abdullah).pdf</t>
  </si>
  <si>
    <t>Halbast Abdulla.jpg</t>
  </si>
  <si>
    <t>Masters in Business Administration</t>
  </si>
  <si>
    <t>The American University of Iraq Sulaimani</t>
  </si>
  <si>
    <t>Iraq</t>
  </si>
  <si>
    <t>Leadership Course at National and Kapodistrian University of Athens and the Global Youth Convention at Milan/ Italy 2025</t>
  </si>
  <si>
    <t>yes, Summer of Hope Project Iraqi Children Foundation (Partner Organization) Education for Peace in Iraq Center (EPIC) (Partner Organization) Vim Foundation (Partner Organization)</t>
  </si>
  <si>
    <t>https://iraqichildren.org,https://enablingpeace.org</t>
  </si>
  <si>
    <t>Founder &amp; Project Director</t>
  </si>
  <si>
    <t>4 years</t>
  </si>
  <si>
    <t>Library Manager and Academic Coordinator of the VPAA Office at the American University of Iraq Sulaymani</t>
  </si>
  <si>
    <t>An initiation not organization it is called Sexual Harassment Safety &amp; Awareness Initiative (SHSAI)  I am one of the Co founder of this initiative</t>
  </si>
  <si>
    <t>The main aim of the initiative is to produce AI-generated video content tailored for preschool, primary, and secondary school audiences, equipping children and young people with the knowledge and tools to recognize and protect themselves from sexual harassment.</t>
  </si>
  <si>
    <t>Community DevelopmentProject Management Leadership Grant Writing &amp; Fundraising International Partnership Development Cross-Cultural Communication Public Speaking Event Management Program Design &amp; Implementation Cultural Heritage Preservation Strategic Planning Volunteer Management</t>
  </si>
  <si>
    <t>Halbast_Abdullah_CV 2026.pdf</t>
  </si>
  <si>
    <t>Yes. I believe changing the world starts by improving the lives of people around us. Since becoming Library Manager, I have worked to transform education into a tool for community development. In 2023, I founded the Summer of Hope Project, an educational program for orphaned children, and this year I successfully raised USD 20,000 to keep its third annual edition alive for 30 children. My mission for this program is to give orphaned children consistent learning opportunities, confidence, and a sense of belonging. For almost two months, we met nearly every day for English, reading, art, life skills, yoga and meditation, environmental awareness, chess, and ballet classes. At the closing ceremony, I witnessed how the children had grown in confidence, discipline, and joy and how the orphanage itself had become a more hopeful and active learning environment. This summer, I am also working on a new project to connect adult orphans with AUIS alumni and help place them in workplaces and companies owned by our alumni. These experiences strengthened my belief that sustainable change begins with leadership and empowerment.</t>
  </si>
  <si>
    <t>I think among the world’s diplomatically significant countries, Finland stands out because it proves that influence today is built less on coercion and more on credibility, trust, and soft power. Its globally respected education system, high levels of social cohesion, and consistent commitment to human well-being have made it a model that other nations actively study and emulate. Finland’s diplomacy is powerful because it exports ideas, not pressure: educational excellence, innovation, sustainability, and high-trust governance. In a world shaped by polarization and insecurity, Finland shows that a country’s diplomatic strength can come from the quality of its society and the respect it earns internationally.</t>
  </si>
  <si>
    <t>Young people are among the most influential ambassadors of their countries because they build international relationships through education, culture, innovation, and community engagement. Public diplomacy is no longer limited to governments; it is strengthened by citizens who create trust and understanding across cultures.
Throughout my career, I have actively contributed to public diplomacy by building partnerships between Iraqi and international institutions. Through strong relationships with embassies, consulates, and universities, I secured 500 books from New York University; 150 books through the READ JAPAN Project (2024); and additional book donations from the Indian and Korean consulates, expanding educational opportunities for students while promoting cultural exchange. In 2025, I organized the Korea–Kurdistan Dialogue Conference, bringing together over 150 participants, including diplomats, academics, and community leaders, to strengthen mutual understanding.
In 2026, I was selected for the Preservation of Libraries and Archives in Iraq program, supported by the U.S. Embassy in Baghdad, where I presented a project on preserving documentation of the Kurdish genocide. I believe protecting cultural heritage is itself a form of public diplomacy because it allows nations to understand one another through history, knowledge, and shared human experiences. Young leaders have the ability to transform local initiatives into international partnerships that contribute to peace, dialogue, and sustainable development.</t>
  </si>
  <si>
    <t>To me, passion is the willingness to go beyond what is expected because you genuinely care about creating positive change. Passion is not determined by a job title. A passionate teacher or librarian can create greater impact than a manager who simply completes assigned tasks. Passion has shaped every stage of my career. When I became Library Manager, I did not see the library as a place only for borrowing books. I saw an opportunity to create a vibrant learning environment where students could develop critical thinking, creativity, leadership, and confidence. This inspired me to introduce projects and programs that had never existed in libraries in my region, including educational workshops, mental health initiatives, community engagement activities, and the Summer of Hope Project. Passion encourages me to seek opportunities, build partnerships, and transform ideas into meaningful, sustainable initiatives that benefit society.</t>
  </si>
  <si>
    <t>Yes. I consider creativity one of my greatest strengths because I enjoy finding innovative ways to solve community challenges. As Library Manager, I transformed a traditional library into a dynamic center for learning, dialogue, and well-being. We introduced author talks, book discussions, art therapy workshops, meditation sessions, and interactive educational programs that encouraged students to think critically while supporting their mental health.
Creativity has also guided my work beyond the university. In 2026, I received a grant of $10,000 to work on developing an AI-powered educational initiative to help children recognize and prevent sexual harassment, with the long-term goal of collaborating with teacher trainers and the Ministry of Education to integrate these resources into schools across Iraq. I believe creativity becomes an effective public diplomacy strategy when it combines education, culture, technology, and storytelling to address shared global challenges. Creative initiatives transcend language and political differences, allowing people to connect through shared values and experiences. By using innovation to promote education, cultural understanding, and social responsibility, we can strengthen international partnerships and build lasting trust between communities.</t>
  </si>
  <si>
    <t>From Social Media</t>
  </si>
  <si>
    <t>most of them</t>
  </si>
  <si>
    <t>OMAR WAEL SHEHADEH ABUALWAFA</t>
  </si>
  <si>
    <t>omarwafa510@gmail.com</t>
  </si>
  <si>
    <t>Istiklal Avenue, Amman, Jordan</t>
  </si>
  <si>
    <t>00962797286892</t>
  </si>
  <si>
    <t>1536717</t>
  </si>
  <si>
    <t>00962797746214</t>
  </si>
  <si>
    <t>www.linkedin.com/in/omar-abu-alwafa-عمر-أبو-الوفا-0149a4247</t>
  </si>
  <si>
    <t>https://www.instagram.com/omar_w.w0/</t>
  </si>
  <si>
    <t>https://www.facebook.com/omar.w.wafa</t>
  </si>
  <si>
    <t>Omar Passport.jpg</t>
  </si>
  <si>
    <t>Omar Abu Alwafa.jpg</t>
  </si>
  <si>
    <t>Graphic Design</t>
  </si>
  <si>
    <t>Applied Science University</t>
  </si>
  <si>
    <t>University of Tarumanagara (Virtual Exchange)</t>
  </si>
  <si>
    <t>I had a course at university</t>
  </si>
  <si>
    <t>Hareer Organization</t>
  </si>
  <si>
    <t>https://hareerinitiative.com/</t>
  </si>
  <si>
    <t>Profile Design</t>
  </si>
  <si>
    <t>3.5</t>
  </si>
  <si>
    <t>Senior Graphic Designer</t>
  </si>
  <si>
    <t>Design Task Management - Facilitating Design Workshops</t>
  </si>
  <si>
    <t>Omar Abu Alwafa CV 2026.pdf</t>
  </si>
  <si>
    <t>Am I exaggerating to state that I daydream about changing the world almost everyday? I envision a brighter more just world, a liberated Palestine, and a global south free from all faces of modern colonialism. Regarding the actions, I joined an international youth network (Al-Sharq Network) and enrolled in a 3 month leadership training program, that included group tasks and facilitating a workshop. I traveled to Istanbul last year to the network's annual conference &amp; camp retreat. To be honest, I feel I'm not even close to my vision &amp; I look for opportunities to attain it.</t>
  </si>
  <si>
    <t>Qatar, first country that pops to my mind, for it's role in mediating many conflicts and it's ongoing efforts to stabilize the ceasefire in Gaza, &amp; reaching an agreement between the United States and Iran.
I see Türkiye too as a diplomatically significant country, it plays a major role mediating between Russia &amp; Ukraine. And have huge influence in Syria, Iraq &amp; the the Mediterranean Sea.</t>
  </si>
  <si>
    <t>I believe the youth are the best content creators &amp; unofficial ambassadors any nation can have as engines for public diplomacy. Why? Because they give the most energy &amp; have the tools &amp; are keeping up with technology &amp; social media to stay connected with fellow youth around the globe. Another good reason is that the youth among the global south -and all over the world- are rapidly realizing the devastating consequences of the status quo: The wars, the climate change, the exploitation of resources, water pollution, the cultural colonialism &amp; more. I think I relate to public diplomacy as a tool to navigate these complex challenges and to be an acting force in shaping the bright future.</t>
  </si>
  <si>
    <t>I struggled in the teenage years with the concept of passion, but now I can draw three intersected circles: Action, Responsibility &amp; goodness. At the center of the intersection between these three concepts is passion. In my point of view, youth can feel a great sense of passion once they take responsibility &amp; action for the greater goodness. Passion can drive me forward to face the challenges &amp; overcome them.</t>
  </si>
  <si>
    <t>Praise be to Allah, YES! I work on designing concepts &amp; visual identities on daily basis. That's one part of creativity, another part is that I can connect different concepts &amp; come up with ideas for problems. I enjoy writing a lot, writing to find &amp; articulate solutions &amp; ideas. How can I build an effective public diplomacy strategy? That's a deep question that needs deep thinking, I'll start with the country positioning now &amp; the desired new public image that the strategy will work for. I'll define the goals, the resources &amp; most importantly: the country needs &amp; aspirations. Then I'll brainstorm the tools, the organizations &amp; the stakeholders that will play parts in it. Third, I'll study the global best practices &amp; analyze case studies. I'll consult local experts, politicians, historians &amp; thought leaders before executing the strategy. It'll be a thought provoking journey filled with insights &amp; challenges.</t>
  </si>
  <si>
    <t>My Brother shared a post about the summit</t>
  </si>
  <si>
    <t>Conflict Resolution, Debating, Medaiting</t>
  </si>
  <si>
    <t>Lizan Ahmed Mohammed</t>
  </si>
  <si>
    <t>lizan.ahmed@suli-bis.com</t>
  </si>
  <si>
    <t>Kaziwa, Sulaymaniyah, Iraq, Qaiwan Heights, Sulaymaniyah, Iraq</t>
  </si>
  <si>
    <t>+964 771 584 3300</t>
  </si>
  <si>
    <t>B01161266</t>
  </si>
  <si>
    <t>+964 770 249 3211</t>
  </si>
  <si>
    <t>https://www.linkedin.com/in/lizan-ahmed-279178195?utm_source=share_via&amp;utm_content=profile&amp;utm_medium=member_ios</t>
  </si>
  <si>
    <t>B01461266_page-0001.jpg</t>
  </si>
  <si>
    <t>photo_2026-07-05_20-22-30.jpg</t>
  </si>
  <si>
    <t>Mechanical Engineering</t>
  </si>
  <si>
    <t>The American University of Iraq, Sulaimani (AUIS)</t>
  </si>
  <si>
    <t>Civil Development Organization (CDO); UNICEF</t>
  </si>
  <si>
    <t>https://cdo-iraq.org/</t>
  </si>
  <si>
    <t>Education Facilitator and Volunteer</t>
  </si>
  <si>
    <t>6 months</t>
  </si>
  <si>
    <t>Cambridge Primary Teacher at The British International School of Sulaymaniyah. I teach English, Mathematics, Science, History and Geography. I plan lessons, assess student progress and create an inclusive learning environment.</t>
  </si>
  <si>
    <t>Leadership, Teaching, Classroom Management, Teamwork, problem solving, critical Thinking and Teaching.</t>
  </si>
  <si>
    <t>Lizan's Resume (1).pdf</t>
  </si>
  <si>
    <t>Yes. I believe meaningful change begins by improving the lives of individuals through education. Before becoming a full-time teacher, I volunteered with the Civil Development Organization, where I taught English to refugee children and helped create a safe and joyful learning environment. That experience showed me that education can restore hope and confidence even in difficult circumstances. Today, as a Cambridge Primary Teacher, I continue to make an impact by encouraging critical thinking, empathy and respect among my students. I believe every child who becomes a responsible and compassionate citizen contributes to building a better future for society.</t>
  </si>
  <si>
    <t>I believe effective diplomacy depends on cooperation among nations rather than believing one country is the most diplomatically significant. Countries such as Japan, the United States, and members of the European Union have each made important contributions to global peace, innovation, education, and international partnerships. However, today’s global challenges; including climate change, conflict, and inequality cannot be solved by one country alone. Successful diplomacy requires mutual respect, dialogue, and collaboration. Every nation, regardless of its size, has valuable perspectives to contribute. Strong international relationships are built through trust, cultural understanding, and a shared commitment to sustainable development.</t>
  </si>
  <si>
    <t>Young people are essential to diplomacy because they bring fresh ideas, creativity, and a willingness to build bridges across cultures. They are future leaders, educators, entrepreneurs, and policymakers who will shape international cooperation. Through education, volunteering, and dialogue, youth can promote peace, challenge stereotypes, and encourage mutual understanding between communities.
As a teacher, I see public diplomacy beginning in the classroom. Every day, I encourage my students to respect different perspectives, communicate effectively, and think critically about the world around them. These values help prepare them to become responsible global citizens who appreciate diversity and cooperation.
My experience teaching refugee children also strengthened my belief that education can connect people regardless of their backgrounds or circumstances. I learned that empathy, patience, and communication are powerful tools for creating trust.
Participating in this forum would allow me to exchange ideas with young leaders from different countries, learn about international cooperation, and bring those experiences back to my students and community in Iraq. I believe teachers play an important role in public diplomacy because they help shape the attitudes and values of future generations.</t>
  </si>
  <si>
    <t>To me, passion is the motivation that encourages continuous learning, resilience, and a commitment to making a positive difference. Although I studied Mechanical Engineering, I discovered that my true passion lies in education. Teaching allows me to inspire young people, encourage curiosity, and help students develop confidence in their abilities.
Passion motivates me to continue improving my teaching through professional development, educational technology, and leadership opportunities. It has encouraged me to volunteer, participate in international programs, and seek new ways to make learning more meaningful for my students.
My long-term goal is to become an educational leader who contributes to improving teaching quality and expanding learning opportunities. Passion reminds me that meaningful change happens through consistent effort, lifelong learning, and a genuine desire to serve others.</t>
  </si>
  <si>
    <t>Yes, I consider creativity to be one of the most valuable qualities an educator can have. Creativity is not only about generating new ideas but also about finding meaningful ways to connect people and solve problems.
As a teacher, I use storytelling, collaborative projects, interactive learning activities, and educational technology to engage students from different backgrounds. These approaches encourage communication, teamwork, and respect for diverse perspectives.
I believe the same principles can strengthen public diplomacy. Creative initiatives such as cultural exchange projects, student collaborations, community workshops, and digital learning platforms can bring people together despite differences in language or culture. By creating opportunities for dialogue and shared experiences, we can build trust and reduce misunderstandings.
If selected for this program, I would use the knowledge and networks I gain to organize educational activities that promote intercultural understanding among young people in Iraq. I also hope to encourage students to become active global citizens who value cooperation, respect diversity, and contribute positively to their communities. I believe education and creativity together can become powerful tools for lasting peace and international friendship.</t>
  </si>
  <si>
    <t>Friend</t>
  </si>
  <si>
    <t>Muhammad Amir Hamzah Bin Haji Abdul Gafur</t>
  </si>
  <si>
    <t>amirhamzahgafur@gmail.com</t>
  </si>
  <si>
    <t>No.3, Spg 38, Kg OKBI, Jalan Pulaie, Berakas, NBD, BB4113, Bandar Seri Begawan, Brunei Darussalam</t>
  </si>
  <si>
    <t>Bruneian</t>
  </si>
  <si>
    <t>+6738617330</t>
  </si>
  <si>
    <t>C0732447</t>
  </si>
  <si>
    <t>+6738910518</t>
  </si>
  <si>
    <t>https://www.linkedin.com/in/amir-hamzah-gafur/</t>
  </si>
  <si>
    <t>Passport Photo Scan.pdf</t>
  </si>
  <si>
    <t>Passport Photo.jpg</t>
  </si>
  <si>
    <t>Bachelor Degree</t>
  </si>
  <si>
    <t>Business Management</t>
  </si>
  <si>
    <t>Chester University</t>
  </si>
  <si>
    <t>Brunei Beach Bunch</t>
  </si>
  <si>
    <t>https://www.beachbunchbrunei.com/</t>
  </si>
  <si>
    <t>Tutor</t>
  </si>
  <si>
    <t>Customer Service</t>
  </si>
  <si>
    <t>Curriculum Vitae (CV).pdf</t>
  </si>
  <si>
    <t>Yes, indeed. I think that significant change starts with simple, persistent efforts. In my own capacity, as a geography tutor, I educate and empower my students with world knowledge and act as their learning support in their studies. I strive to create an engaging environment where curiosity thrives, encouraging them to explore different cultures and geographical concepts. I have also volunteered at local events and contributed to community-building efforts, including cleaning our beaches with Brunei Beach Bunch, for instance. With these interactive lessons and environment awareness campaigns, I hope these initiatives could make an impact on the world at least.</t>
  </si>
  <si>
    <t>I think a country is considered diplomatically significant when it plays an important role in world affairs by maintaining good relationships and working closely with other nations. These countries help solve international problems, promote trade, and support peace and stability around the world. Countries like the United States often take part in major international negotiations and peace efforts for instance. Their decisions can influence the global economy, security, and environmental policies. A diplomatically significant country also works with international organizations to encourage cooperation and settle conflicts through peaceful discussion instead of the use of force.</t>
  </si>
  <si>
    <t>In my opinion, youth serves a crucial role in diplomacy by bringing fresh ideas, innovation, and a global perspective to international engagement. This is because young people can transcend cultures, promote communication, and tackle global issues like climate change, education, and sustainable development because they are the generation most connected by technology and social media. In addition, they excel in fostering understanding and collaboration because of their capacity to establish connections with a variety of cultures.
I can truly relate to the idea of public diplomacy because I think that interpersonal interactions are just as important in fostering meaningful international relations as governments. My education, leadership experiences, and participation in community projects have taught me the value of cooperation, cultural sensitivity, and effective communication. I like interacting with people from all backgrounds, and I think that listening, appreciating different viewpoints, and exchanging ideas may promote trust and more solid international ties.
As a young Bruneian, I hope to contribute by representing my country Brunei Darussalam with professionalism, openness, and integrity. Whether through cultural exchanges, volunteer work, or international programs, I want to help strengthen Brunei's global presence while learning from others. I believe youth have the energy, adaptability, and commitment needed to shape a more peaceful and cooperative world.</t>
  </si>
  <si>
    <t>In my own understanding, passion is something that inspires a person to pursue meaningful goals with dedication, resilience and a willingness to keep learning. The progress could take time, but as long as the person is committed to it, I believe it could boost his or her motivation to overcome any obstacles. 
I am passionate about building connections, understanding different perspectives, and contributing to meaningful conversation. Thus, I believe diplomacy is about building trust, cooperation, and mutual respect between people and nations. 
This passion motivates me to continuously develop my communication, leadership, and intercultural skills by attending various workshops and events in my local community. My staunch dedication to strengthening my skills has eventually led me to achieve my goals, such as the opportunity to participate in exchange programs abroad for an example. Thus, I have learned that being passionate can act as a powerful catalyst to fuel someone's drive and focus and help in overcoming challenges.
To this day, I am still passionate and aspire to represent my country with integrity and professionalism. I am motivated to seek opportunities that would broaden my global outlook and deepen my understanding of international issues. With this genuine curiosity and desire to serve others, I hope to contribute positively to public diplomacy events, such as the Young Public Diplomacy Summit 2026 event in Indonesia. It is my ultimate goal to strengthen relationships that promote peace, collaboration, and shared progress.</t>
  </si>
  <si>
    <t>I am a creative person in a psychological sense, where I am able to think out of the box and relay messages in the most inspiring and engaging ways. To share ideas, solve problems and connect with people, I would do storytelling, visual presentations, cultural interactions and team-building activities to share Brunei's values, history and cultural traditions as part of my effective public diplomacy strategy. A two-way street of mutual trust and understanding needs to be established as well by listening to and taking input on their different perspectives for the sake of strengthening relationships among countries. Moreover, I also believe that by appropriately using social media and interactive platforms, diplomacy may reach out to younger generations and promote cross-cultural conversation as a result.
As someone who appreciates learning from others and engaging with people from various backgrounds, I feel I can provide new insights while staying culturally sensitive. With the combinations of my creativity, empathy, strategic communication and genuine engagement, I wish to contribute to public diplomacy activities that promote mutual understanding, collaboration, and a favorable image of Brunei on the international arena.</t>
  </si>
  <si>
    <t>Anisimova.Veronika@savushkin.com</t>
  </si>
  <si>
    <t>Brest, Belarus</t>
  </si>
  <si>
    <t>Belarus</t>
  </si>
  <si>
    <t>+375333550835</t>
  </si>
  <si>
    <t>AB4142236</t>
  </si>
  <si>
    <t>verona_anis</t>
  </si>
  <si>
    <t>Passport Veranika Anisimava.jpg</t>
  </si>
  <si>
    <t>IMG_7388.jpg</t>
  </si>
  <si>
    <t>Master of Geography</t>
  </si>
  <si>
    <t>Environmental Management and Nature Protection</t>
  </si>
  <si>
    <t>Brest State University</t>
  </si>
  <si>
    <t>Finland</t>
  </si>
  <si>
    <t>University of Turku</t>
  </si>
  <si>
    <t>Saint Nicolas Organisation (coordinated by Centre for Youth Cooperation and Mobility), Poland</t>
  </si>
  <si>
    <t>https://cwm.org.pl/</t>
  </si>
  <si>
    <t>1 year (2017-2018)</t>
  </si>
  <si>
    <t>Export manager</t>
  </si>
  <si>
    <t>Sales management, geographical teacher, communication skills, negotiations, analytical skills</t>
  </si>
  <si>
    <t>CV VERANIKA ANISIMAVA.pdf</t>
  </si>
  <si>
    <t>For me changing the world is not something global. Its about specific actions on the local level. Changing life of one person launch powerful chain of changes. In my life its about changes in education, social and commercial spheres. My professional journey began at university where I taught environmental courses and instilling ecological mindset. As international volunteer, I helped children from families with problems by teaching them important life values. As a manager at language school, I helped people to get closer to their dreams through language education. As an export manager, Im link chain in achievement sustainable development goals.</t>
  </si>
  <si>
    <t>At my point, diplomatically significant country should comply following criteria: be politically neutral, not support military conflicts, promote dialogue in resolving conflicts, promote mutually beneficial international cooperation, protect human rights, support sustainable development goals. Generally, its country whose influence based not on military and economic dominance, but on influence through peacekeeping and humanism principles. Switzerland is associated with such country – example of military and economic neutrality, as well as center of concentration of world institutions. This country affects the world without military and economic power, but shows that diplomatic significance is possible through economic integration, environmental responsibility and human values.</t>
  </si>
  <si>
    <t>Diplomacy is the most important element in building a modern society. Diplomacy unites various spheres of society, not just politics: real economy sector, sustainable development, social sphere. Young people play a key role in diplomacy, since they responsible for the further development of diplomacy in various fields, relying on the experience of past generations and introducing innovations in the context of current geopolitical situation. The task of youth is to concrete practical actions that can make real changes for whole world. And the main strength of young people is their innovative and creative approaches, going beyond traditional approaches, in rethinking diplomacy in view of the changing world. My own professional path reflects this approach to public diplomacy. As a university geography teacher I was engaged in green diplomacy, developing global environmental thinking among future leaders. As international volunteer I practice humanitarian diplomacy by helping children. My current job as an export manager and negotiating international contracts is a daily practice in economic diplomacy. The strength and task of young people is to prove that modern diplomacy is built not only on "dry politics", but also on creating mutual trust through education, culture and trade, building sustainable partnerships in all areas.</t>
  </si>
  <si>
    <t>Passion is the main element in achieving goals. For me passion define whole my life and all my professional steps. My professional path seems very diverse, but it is a consistent complete chain that has been formed thanks to my passion for knowing various spheres of life and moving forward, interest to the world and people. Passion helps build discipline. Discipline is the most important condition that helps to build a clear plan on the way to achieving goals and cope with the inevitable routine tasks on the way to the goal. Passion is an inner core that makes me move forward and not give up on difficulties, but grow through difficulties and see the long term. Passion is something that helps to move forward when nothing is working anymore. Passion is about healthy curiosity. Curiosity, in turn, helps to look at things comprehensively, notice details, and deeply learn questions.</t>
  </si>
  <si>
    <t>Creativity is not just about ability to find non-standard solutions and creative approach to problem situations. Its also about ability to find solution in situations where seems there is no solution. I consider myself as creative person. Thanks to my geographical mindset, which formed during my university period, I look at many aspects of life as on complete things, which allows me to find solutions to various issues. My versatile professional experience as university teacher, international volunteer, manager has formed a strong base of knowledge and skills that allows me to find many answers. My work at the university, volunteering – creative process of communication with children and students. This is constant search for creative solutions to build communication with them. In sales and exports creativity is a tool in difficult negotiations and geopolitical situations. Creativity is simply necessary in the context of the sanctions that Belarus has faced recently, as well as during negotiations with partners from different countries, taking into consideration differences in culture and business process. I can effectively incorporate my knowledge into effective diplomatic strategy. As a representative of dairy business at that moment, I represent this business as contribution to global food security and sustainable development.</t>
  </si>
  <si>
    <t>HA TRANG THACH</t>
  </si>
  <si>
    <t>THACH HA TRANG</t>
  </si>
  <si>
    <t>trangsined.sac.ftu@gmail.com</t>
  </si>
  <si>
    <t>Phu Dong Commune, Hanoi, Vietnam</t>
  </si>
  <si>
    <t>+84869631645</t>
  </si>
  <si>
    <t>K0046744</t>
  </si>
  <si>
    <t>+84 986818867</t>
  </si>
  <si>
    <t>Passport Thach Trang.pdf</t>
  </si>
  <si>
    <t>ảnh thẻ 4x6.jpg</t>
  </si>
  <si>
    <t>Bachelor's Degree in Economics</t>
  </si>
  <si>
    <t>International Business Economics</t>
  </si>
  <si>
    <t>Foreign Trade University</t>
  </si>
  <si>
    <t>Goethe Unversity Frankfurt</t>
  </si>
  <si>
    <t>Yes, The Ninth Global Conference of Young Parliamentarians</t>
  </si>
  <si>
    <t>Liaison Officer</t>
  </si>
  <si>
    <t>Documentation Executive</t>
  </si>
  <si>
    <t>No. However, I served as President of the Study Abroad Club of Foreign Trade University, where I led a 40-member team and organized youth-oriented academic and cultural exchange initiatives.</t>
  </si>
  <si>
    <t>I did not found the organization. The club aims to be a trusted platform that connects young people interested in overseas education, shares study-abroad information and experiences, and builds a dynamic community for global learning.</t>
  </si>
  <si>
    <t>Youth leader with skills in project management, public relations, sponsorship development, stakeholder engagement, cross-cultural communication, event planning, and international trade documentation.</t>
  </si>
  <si>
    <t>CV_ HA TRANG THACH _ YPDS 2026.pdf</t>
  </si>
  <si>
    <t>Yes, but I believe that meaningful change does not begin with grand ambitions - it begins within our own communities. Although I had dreamed of studying abroad since childhood, I was unable to pursue a full degree overseas after high school because I lacked access to reliable information and proper guidance. That experience inspired me to join and later lead my university's Study Abroad Club. I led initiatives that connected thousands of both university and high school students with mentors, scholarships, and international education resources. I believe changing the world starts by ensuring that opportunities are no longer determined by where someone is born.</t>
  </si>
  <si>
    <t>From my perspective, Indonesia is diplomatically significant as the leader of ASEAN and a bridge between the Global South and major economies. Its role in the Indo-Pacific framework, stewardship of ASEAN economic integration, and chairmanship of key G20 forums demonstrate its growing agency in shaping regional trade rules, digital economy governance, and climate finance. For a young professional focused on cross-border business and economic cooperation - as reflected in my work with trade documentation and international supplier relations - understanding Indonesia’s diplomatic strategy is essential. It exemplifies how middle powers can leverage economic diplomacy to foster inclusive growth and multilateral dialogue.</t>
  </si>
  <si>
    <t>I used to think that Diplomacy is state-to-people propaganda, happening only in conference rooms, led by governments and ambassadors. Today, I see Public Diplomacy being the daily work of building trust across cultures - and youth are the most agile translators.
As President of FTU's Study Abroad Club, I created spaces where local and international students could have meaningful conversations - breaking stereotypes through genuine dialogue. This is public diplomacy at the micro-level. Later, as a UNDP liaison at the 9th Global Young Parliamentarians Conference, I saw that even high-level diplomacy relies on young professionals handling operational details with cultural sensitivity.
Interestingly, even my current role handling cross-border contracts is a form of public diplomacy. Negotiating terms across cultures is not just legal parsing; it requires emotional intelligence to de-escalate friction and find mutually comprehensible trade languages.
I believe the youth's unique role is to humanize foreign policy. While governments formalize agreements, we build the interpersonal ecosystems that sustain them. I don't just 'relate' to public diplomacy - I practice it operationally. Attending YPDS in Jakarta would allow me to scale this grassroots 'translator' mindset into strategic frameworks for ASEAN's economic corridors, proving that the future of regional cooperation lies not in boardrooms, but in our daily cross-border interactions.</t>
  </si>
  <si>
    <t>To me, passion is not innate talent but the quiet resilience to persevere when progress is slow and the courage to try again after failure. Passion is not about being the brightest - it is about remaining when others have moved on.
I learned this through my own journey. I took the IELTS twice to enter Foreign Trade University, where I encountered what many call "peer pressure" - the feeling that peers seemed effortlessly superior.  I was accepted by only one student club among many applications - yet I committed myself fully to it. Through my involvement, I recognized the profound value it created, and resolved to sustain that mission. Two years later, I became its President, supporting thousands of students in accessing international opportunities.
This is what passion means to me: transforming setbacks into motivation and rejections into lessons. It drives my work in cross-border trade, and my ambition to contribute to ASEAN's economic integration. I may not always be the best, but I will always be the one who stays until the goal is achieved.</t>
  </si>
  <si>
    <t>Yes, I consider myself creative, but to me, creativity is not always about creating something entirely new. It is about improving an existing approach by identifying what is missing. When I led an academic competition as President of the Study Abroad Club, I realized that our promotion mostly reached university students, while high school students were the ones who needed study-abroad guidance most. By bringing consultation booths directly to selected high schools, we expanded our reach and made the project more convincing to partners.
I believe this mindset can become an effective public diplomacy strategy. Public diplomacy should not only promote a country to the outside world; it should also prepare its citizens to understand and represent their national values with confidence. Every individual, especially young people, can act as an informal ambassador, whether studying abroad, working with international partners, or simply interacting with foreigners. Young people are cultural translators: they turn national identity, values, and stories into language others can understand and trust.
Therefore, creative public diplomacy means building bridges from the inside out. A country should first help its citizens understand who they are and what they stand for, then empower them to share those values authentically with the world.</t>
  </si>
  <si>
    <t>Soft, Smart, and Hard Power</t>
  </si>
  <si>
    <t>Sami S S Khalaf</t>
  </si>
  <si>
    <t>s424143410@gmail.com</t>
  </si>
  <si>
    <t>unit 11, 19-21 Oxford St., Merrylands, Sydney, Australia</t>
  </si>
  <si>
    <t>+61 414934904</t>
  </si>
  <si>
    <t>6081427</t>
  </si>
  <si>
    <t>+61 493906454</t>
  </si>
  <si>
    <t>CamScanner 11-25-2025 11.51 (1).pdf</t>
  </si>
  <si>
    <t>WhatsApp Image 2026-07-05 at 10.59.36 PM.jpeg</t>
  </si>
  <si>
    <t>bachelor</t>
  </si>
  <si>
    <t>Mechatronics</t>
  </si>
  <si>
    <t>University of technology Sydney</t>
  </si>
  <si>
    <t>Australia  ( I am still studying)</t>
  </si>
  <si>
    <t>I worked as a paid volunteer with human appeal australia</t>
  </si>
  <si>
    <t>https://www.humanappeal.org.au/</t>
  </si>
  <si>
    <t>collecting  donations</t>
  </si>
  <si>
    <t>I didn't work for a long time there.</t>
  </si>
  <si>
    <t>I worked as a casual tutor and supervisor at a shcool</t>
  </si>
  <si>
    <t>I am a tutor for math and physics, I have a very deep and strong Arabic language, I am a good teacher of for theoretical and Practical Arabic.</t>
  </si>
  <si>
    <t>SamiSS_Khalaf_Resume.pdf</t>
  </si>
  <si>
    <t>I strongly believe that directing this mental energy toward academic and practical fields will give me a unique advantage, allowing me to study deeply, contribute meaningfully, and stay focused on positive and productive thoughts. I believe that, through hard work and determination, I can make a meaningful difference and contribute to creating positive change, especially in helping make my home country, Palestine, a better place to live.
I am also currently studying Mechatronics Engineering, a field where I hope to combine the technical knowledge I gain with the communication skills and critical thinking that I continue to develop. My goal is to contribute to solving major global challenges, such as food and water shortages that affect many countries around the world. These ambitions reflect a deep passion that drives who I am and what I hope to contribute to our world.</t>
  </si>
  <si>
    <t>Palestine,I was born in Gaza City, Gaza Strip, a place that has almost never seen a normal day or a peaceful period. I witnessed two wars and many escalations in between, including the latest one that began on the 7th of October.
At that time, I was in Year 12 in Palestine.
I was a very hard-working student, and this was clear in my decision not to stop studying during the first few days of the war. I can still clearly remember how I never left my books and study materials behind (mostly paper, as the use of digital copies was uncommon). During the first two months, I changed places four times. We lived in a storage room and guest rooms in Deir al-Balah and Khan Yunis, in the central and southern parts of the Gaza Strip.
The suffer of the people of palestine has to gain more support and respect. Diplomatically a person or a politician or even a government's perspective of  Palestine always plays a major role in its diplomatic relationships with other countries. depends on the other countries perception to the Isreali Palestinian conflict</t>
  </si>
  <si>
    <t>One of my favourite things to do in my free time is to develop my mindset, critical thinking, and understanding of the world by continuously learning, gathering information, and challenging my own perspectives.
A big part of who I am is my passion for creating change. I deeply enjoy meaningful conversations, especially with people who have a strong critical and academic mindset. Through these discussions, I develop my ideas, improve my communication skills, and strengthen my ability to analyse complex issues.
For example, I occasionally have deep discussions with friends who enjoy these kinds of conversations. One topic we once discussed was the decision to invite the Australian Prime Minister to a large mosque during Eid despite what many viewed as his inconsistent or even silent stance on what is happening in Palestine, and whether the negative reactions from some members of the community were an appropriate response in support of the Palestinian community.
At first, we had two very different views. One side believed that inviting the Prime Minister could be seen as accepting or overlooking his position, which might weaken the community's message of rejecting his stance on Palestine.
The other side argued that it was a diplomatic decision and an important opportunity to maintain a positive relationship with the Australian Government, which has supported Palestinian and Muslim organisations in different ways. From this perspective, constructive engagement could bring greater long-term benefits to the community than creating conflict. Rather than treating the Prime Minister as an enemy, he was viewed as a public figure whose perspective might be influenced through respectful dialogue and engagement. Building relationships and encouraging understanding could ultimately have a more positive impact than hostile reactions, which might only strengthen opposing views.
By the end of the discussion, the second argument proved more convincing. It became clear that although the invitation might initially appear to be a weak or unjustifiable decision, looking beyond the surface revealed that it could produce far greater long-term benefits.
This is an example of the kinds of discussions I have every week, and sometimes almost every day, mainly with my brother and close friends. These conversations require us to critically analyse current issues, consider different perspectives, and work towards the most reasonable and beneficial conclusion.</t>
  </si>
  <si>
    <t>Passion is an inner feeling the pushing you towards doing or achieving your goals. it gives you the energy to start but we need a lot of discipline and hard-work along the way.
One of the obstacles that I clearly remember overcoming -back in my home country- was when I moved to Arafat High School for the Gifted, the only selective school in Gaza, as far as I know.
I had been a top student at my previous school, and I was determined to maintain that level. I believed in myself and in my abilities. I have never believed that anyone has something I could not achieve through hard work. I always worked hard and wrote down most of what my teachers said during lessons.
Finally, in Year 10, Term 2, I ranked first in my school, and I remained among the top three students, to the best of my memory, until the 7th of October.</t>
  </si>
  <si>
    <t>I have struggled with obsessive-compulsive disorder (OCD), which is driven by excessive overthinking. However, I strongly believe that directing this mental energy toward academic and practical fields will give me a unique advantage, allowing me to study deeply, contribute meaningfully, and stay focused on positive and productive thoughts. I believe that, through hard work and determination, I can make a meaningful difference and contribute to creating positive change, especially in helping make my home country, Palestine, a better place to live.
I am also currently studying Mechatronics Engineering, a field where I hope to combine the technical knowledge I gain with the communication skills and critical thinking that I continue to develop. My goal is to contribute to solving major global challenges, such as food and water shortages that affect many countries around the world. These ambitions reflect a deep passion that drives who I am and what I hope to contribute to our world.</t>
  </si>
  <si>
    <t>a freind</t>
  </si>
  <si>
    <t>laserhassas@gmail.com</t>
  </si>
  <si>
    <t>Nglanjaran, Ngaglik, Sardonoharjo, Sleman, Indonesia</t>
  </si>
  <si>
    <t>+6285815994499</t>
  </si>
  <si>
    <t>P10273441</t>
  </si>
  <si>
    <t>Laser Hassas</t>
  </si>
  <si>
    <t>www.linkedin.com/in/mawloda-55043b200</t>
  </si>
  <si>
    <t>Mawloda Hassas_Passport.pdf</t>
  </si>
  <si>
    <t>profile photo.jpeg</t>
  </si>
  <si>
    <t>Master Degree</t>
  </si>
  <si>
    <t>International Law LL.M.</t>
  </si>
  <si>
    <t>Human Rights Law</t>
  </si>
  <si>
    <t>Universitas Islam Indonesia (UII)</t>
  </si>
  <si>
    <t>Asian University For Women (AUW)</t>
  </si>
  <si>
    <t>Yes, I am a human rights and policy researcher</t>
  </si>
  <si>
    <t>Theirworld</t>
  </si>
  <si>
    <t>https://theirworld.org/?gad_source=1&amp;gad_campaignid=15140875628&amp;gbraid=0AAAAADNt75GqGgwqzaggKlE2MnQsMq9JC&amp;gclid=CjwKCAjwgajSBhBEEiwASicJU_9I3R1Sl-OPe_vGu4M3RuGjoARro1D8hBVPlrSIcHvtf5Ni-VAhyxoCyZUQAvD_BwE</t>
  </si>
  <si>
    <t>Global Youth Ambassador</t>
  </si>
  <si>
    <t>I was working as a co-founder of EAAW</t>
  </si>
  <si>
    <t>As a former Co-Founders of EAAW to inspire and equip youth through education, leadership and community involvement. We advocate for equal opportunities, and engaging in actions that promote social inclusion, and sustainable development, so that Afghan female youth become competent to be responsible leaders and positive agents of change within their communities.</t>
  </si>
  <si>
    <t>Policy and human rights researcher Researcher</t>
  </si>
  <si>
    <t>Mawloda Hassas- Europass CV.pdf</t>
  </si>
  <si>
    <t>I think a good change starts from small steps and regular actions. As an LL.M. student with a focus on human rights, conducting research and advocacy to tackle issues related to marginalized communities, especially persons with disabilities and women in Afghanistan. I have been involved with youth-focused programs that advance education, leadership and equal opportunities. I also supervise youth, attend international Conferences and enter into cross-cultural dialogue to share ideas and forge partnerships. My aim is to write research into viable policy options that will help to build more inclusive, just and resilient societies, both nationally and globally.</t>
  </si>
  <si>
    <t>I believe that there isn't a single most important nation for diplomats because diplomacy relies on nation to nation cooperation. Indonesia is a key player in the diplomatic arena, however, due to its location, efforts to maintain stability in the region, and leadership within ASEAN. Indonesia is the world's largest archipelagic country and one of the largest democracies, and has been actively advocating dialogue, peaceful conflict resolution, and South cooperation. It is also a link between the developed and developing nations, giving a voice to the Global South. The significance of a country lies in its inclusive diplomacy and collaboration with other countries in a multilateral manner in the global world.</t>
  </si>
  <si>
    <t>Young people are a key group in diplomacy, as innovators, bridge builders and advocates for inclusive dialogue. Diplomacy is not just a government's job in a world that is more interconnected; youth play a part in building understanding, encouraging cultural exchange, and helping solve global issues by collaborating and engaging in their communities. They are great agents of change and have a creative mindset, digital literacy and a willingness to accept differences.
I feel very connected to the concept of public diplomacy as part of my work as an LL.M. scholar in the field of human rights and governance, as good international relations can be built not only via official negotiations but by people-to-people contacts as well. My commitment to human rights, intercultural dialogue and inclusive policy making has been reinforced through my academic research, involvement in international conferences. My international experience of studying in Indonesia has also enriched me with a sense of importance in being understanding, resilient, and cross-culturally aware.
I am looking forward to using public diplomacy to be a voice for those who are not heard, establishing connections between countries, and helping to develop policies that foster peace, justice, sustainable development. I feel that the youth are responsible and have the potential to create a more inclusive and cooperative future in the world.</t>
  </si>
  <si>
    <t>Passion is the inner motivation that drives our actions, otherwise we wouldn't do them, even if it seems like it's a huge challenge. It's the mindset that continues to learn, to grow, to do something even when they encounter challenges. Passion turns dreams into goals and then moves them into action and consistency in achieving them.
My passion is for advancing human rights, inclusive governance and through education and leadership empowering young people. This passion has driven me to get an LL.M. degree and do research on the rights of marginalized communities, participate in international conferences and leadership programs. All my experiences have reinforced my conviction that change starts with knowledgeable and dedicated people.
My passion is to be able to continue to work on the long-term vision of contributing to equitable policies and international cooperation. It reminds me that it isn't a setback, but a learning opportunity. In conclusion, my perseverance is rooted in my passion and it's what continues to propel me forward to become a positive influence in society.</t>
  </si>
  <si>
    <t>I truly believe that I am a creative person as I like finding meaningful and practical way to connect people, ideas and culture. The creativity in me is not just in art or design; it is the ability to articulate complex issues in a way that raises awareness and understanding and inspires action.
As an LL.M. student, I have acquired a skill which is essential for me to convey human rights and governance issues to varied audiences: the ability to research and narrate a story. I have engaged in international programs, dialogue and cultural exchange and youth engagement have fostered mutual understanding and cooperation.
I think it is important to have creativity in public diplomacy, as it can help to develop trust and build relationships that are meaningful across cultures. I would engage in informal communication alongside formal communication, and rely on digital platforms, community-based projects, cultural exchange programmes and youth dialogues to foster mutual values and tackle shared challenges. Public diplomacy is more engaging and impactful when it is inclusive and focuses on personal anecdotes.
I think dialogue starts with listening, valuing alternative points of view and making space for others to be heard. I intend to make a difference in the world with creativity, empathy, and collaboration to foster a peaceful, connected, and inclusive global society.</t>
  </si>
  <si>
    <t>LinkedIn</t>
  </si>
  <si>
    <t>The program module that interests me the most is Public Diplomacy and Global Leadership.</t>
  </si>
  <si>
    <t>Yasmina Zhumagulova</t>
  </si>
  <si>
    <t>roza.kubekova.63@mail.ru</t>
  </si>
  <si>
    <t>Altynsarina 114, Kostanay</t>
  </si>
  <si>
    <t>Kazakh</t>
  </si>
  <si>
    <t>+77774419477</t>
  </si>
  <si>
    <t>12311683</t>
  </si>
  <si>
    <t>esmi_ful</t>
  </si>
  <si>
    <t>photo_5334721807296174891_y.jpg</t>
  </si>
  <si>
    <t>photo_5334721807296174910_y.jpg</t>
  </si>
  <si>
    <t>student of the school-lyceum1</t>
  </si>
  <si>
    <t>high school</t>
  </si>
  <si>
    <t>School-lyceum1</t>
  </si>
  <si>
    <t>Kazakhstan</t>
  </si>
  <si>
    <t>Yes,Assambleya Zhastary</t>
  </si>
  <si>
    <t>https://assembly.kz/ru/</t>
  </si>
  <si>
    <t>I work as a volunteer and content creator. My main responsibility is to produce and share content that promotes the culture, traditions, and historical heritage of Kazakhstan. I also travel to different cities within the country to document cultural sites and local initiatives, helping to make national heritage more visible and engaging for young people through digital media.</t>
  </si>
  <si>
    <t>1,5</t>
  </si>
  <si>
    <t>I founded a student-led educational initiative that helps high school students explore international education opportunities. Through webinars, mentorship, and free educational resources, I guide students through the application process for studying abroad, including scholarship opportunities, document preparation, and personal development.
The project aims to make access to international education more inclusive by sharing reliable information and encouraging students to pursue global opportunities regardless of their background. It also fosters a supportive community where students can learn from one another and build confidence in achieving their academic goals</t>
  </si>
  <si>
    <t>I have experience in content creation, public speaking, and event organization. I promote Kazakh culture through media projects and have strong skills in communication, critical thinking, and teamwork gained through debate and school activities.</t>
  </si>
  <si>
    <t>Резюме для конкурса.docx</t>
  </si>
  <si>
    <t>Have I thought of changing the world? Yes, but not through grand gestures-through quiet, persistent work where it matters most: in the lives of individuals. My journey began with a realization: many talented students in my community never even considered studying abroad because the path seemed impossibly opaque. That’s when I launched my educational initiative-not just to share information, but to build confidence and dismantle the myth that opportunities are only for a chosen few. As a volunteer with Assembly Zhastary, I channel this same belief into cultural storytelling: by sharing Kazakhstan’s heritage digitally, I aim to foster pride at home and curiosity abroad. Every event I organize at school is a small experiment in unity-proving that diverse voices, when brought together, create something stronger than the sum of their parts. I’ve come to see that changing the world isn’t about sweeping revolutions; it’s about lighting one candle at a time and trusting the light to spread.</t>
  </si>
  <si>
    <t>In my opinion, Kazakhstan is one of the most diplomatically significant countries because it serves as a bridge between Europe and Asia. As a multicultural nation with more than 100 ethnic groups, Kazakhstan has built its identity on peaceful coexistence, mutual respect, and dialogue. One of its greatest strengths is its multi-vector foreign policy, which enables Kazakhstan to maintain constructive relations with countries from different regions and political systems. Today, Kazakhstan continues to expand its diplomatic, economic, and cultural partnerships.As a volunteer at Assembly Zhastary, I have seen how cultural understanding strengthens unity within society. I believe the same principle applies internationally: diplomacy is built on trust, respect, and communication.</t>
  </si>
  <si>
    <t>I believe that young people are now redefining the very essence of diplomacy. In the past, it was often associated with closed‑door negotiations, protocols, and formal attire. Today, diplomacy is increasingly born out of ordinary communication: through correspondence with peers from other countries, joint volunteer projects, and short videos that help people better understand foreign cultures.
Young people naturally transcend borders because the world has always been interconnected to them. We grow up accustomed to diverse perspectives, quick adaptability, and the search for common ground. This flexibility becomes a powerful diplomatic resource, helping us not to argue for the sake of it, but to find where our interests and values intersect. Moreover, our fluency in digital spaces allows us to amplify these efforts: a single post or a brief online discussion can spark meaningful exchanges across continents.
Public diplomacy resonates with me because it makes international dialogue more human and relatable. It’s not about official statements but about stories, emotions, and personal experiences-things that stick in memory and touch the heart. Students, volunteers, young artists, and scientists daily create these small yet significant connections. And from these connections, trust gradually grows -something essential for any major agreements to truly work.
I think that if we support and recognize this everyday diplomacy, the world will become not just more connected but also more understanding. After all, it starts with simple things: being open to conversation and respecting different viewpoints. Investing in youth‑led initiatives, providing platforms for cross‑cultural dialogue, and integrating global awareness into education can empower the next generation to build bridges rather than walls. In this way, young people don’t just participate in diplomacy- they help shape its future.</t>
  </si>
  <si>
    <t>Passion is when a light seems to ignite inside you: you don’t just want something-you feel like something’s missing without it. It’s not about a perfect plan or cold calculation; it’s about what stirs you up, what makes you wake up thinking, “Today I’ll take at least one step forward.” It helps you move toward your goal because it gives you strength where logic would already give up.
For me, passion is all about education and gaining new knowledge. It’s that spark of curiosity that never quite fades- the excitement of discovering something I didn’t know before, of connecting dots I hadn’t seen were there. Every time I encounter a new idea, it feels like unlocking a door I hadn’t noticed before. This sense of discovery keeps me motivated even when the learning process gets challenging.
And it’s not only about academic knowledge. Learning about different cultures, histories, and perspectives helps me see the world more clearly and connect with people on a deeper level. That’s what makes this passion so powerful: it doesn’t just help me grow as a person-it opens doors to new opportunities and new ways of thinking. It also teaches me humility: every new thing I learn reminds me how much more there is to discover. This constant curiosity shapes not only my goals but also the way I approach problems, encouraging me to seek creative solutions and stay open to unexpected paths. In the end, this passion turns every day into a chance to grow.</t>
  </si>
  <si>
    <t>Yes, I consider myself a creative person-not necessarily in the sense of creating paintings or music, but in my ability to find unconventional approaches, see connections where others don’t, and present complex ideas in a way that captures people’s attention. For me, creativity is, above all, a way of thinking and communicating.
And this fits perfectly into a public diplomacy strategy. For example, instead of another boring report on culture, I’d rather shoot a short video showing a typical day in my city-not the postcard sights, but a cozy courtyard, a chat with a neighbor, the smell of fresh pastries from the local bakery. It’s these little details that create a real, living image of a country. Or I could launch a mini‑project: ask friends from different cities to share one personal story about what “home” means to them. These voices would form a genuine mosaic-much more honest than any official brochure.
I also think it’s important not to work alone. When people from different countries collaborate on a project, it instantly becomes a bridge: we learn to listen to each other, notice the nuances, and respect our differences. Even a small social media challenge or a joint two‑person podcast can be meaningful- as long as it’s sincere. To me, diplomacy is about trust, and trust isn’t built with grand words, but with small, authentic steps. And if everyone takes just one such step, the world will definitely feel a little closer.</t>
  </si>
  <si>
    <t>telegram channel</t>
  </si>
  <si>
    <t>muhammadsaleh69714@gmail.com</t>
  </si>
  <si>
    <t>Ahmed Abdullah st ,Khokrapar#2 house no# FN54/7 ,Malir ,Karachi, pakistan, Karachi, Pakistan</t>
  </si>
  <si>
    <t>+923062275999</t>
  </si>
  <si>
    <t>AL5748892</t>
  </si>
  <si>
    <t>passport saleh.jpeg</t>
  </si>
  <si>
    <t>white bg.PDF</t>
  </si>
  <si>
    <t>High School</t>
  </si>
  <si>
    <t>Yes i am familiar with academic research a little bit.</t>
  </si>
  <si>
    <t>customer service, communication, management</t>
  </si>
  <si>
    <t>Resumefly.png</t>
  </si>
  <si>
    <t>I have always believed that meaningful change begins with small actions. In my personal capacity, I have volunteered in community charity drives focused on helping families in need. In 2024, I participated in a clothing donation campaign, and in 2025, I helped organize and distribute food packages to underprivileged households. These experiences taught me the value of compassion, teamwork, and service. I also strive to make a positive impact by treating others with kindness, supporting my peers, and encouraging community involvement. While my contributions may seem modest, I believe consistent acts of service can inspire lasting change and create stronger, more caring communities.</t>
  </si>
  <si>
    <t>In my opinion, the Kingdom of Saudi Arabia is one of the most diplomatically significant countries in the world. It plays a vital role in promoting peace, regional stability, and international cooperation. As the birthplace of Islam and home to the Two Holy Mosques, Saudi Arabia holds great religious and cultural importance for Muslims worldwide. It also contributes significantly to global economic development through its energy resources and expanding international partnerships. Through initiatives such as Vision 2030, the Kingdom continues to strengthen diplomatic relations, encourage innovation, and promote sustainable development, making it an influential and respected nation on the global stage.</t>
  </si>
  <si>
    <t>Young people play a vital role in diplomacy because they bring fresh ideas, energy, and a willingness to embrace diversity. In today's interconnected world, diplomacy extends beyond governments and ambassadors. Through education, cultural exchange, volunteer work, and responsible use of social media, young people can build mutual understanding and strengthen relationships between communities and nations. By promoting respect, dialogue, and cooperation, youth contribute to creating a more peaceful and inclusive world.
I relate strongly to the idea of public diplomacy because I believe that every individual has the ability to represent their country and values through their actions. Positive interactions, respect for different cultures, and meaningful communication help build trust across borders. As someone who has participated in community service and values helping others, I have learned that small acts of kindness and cooperation can leave a lasting impression. I hope to continue developing my knowledge and communication skills through higher education, allowing me to become a responsible global citizen. By engaging with people from different backgrounds, sharing ideas, and promoting understanding, I aim to contribute to stronger international friendships and demonstrate that diplomacy begins with everyday actions rooted in respect, integrity, and compassion.</t>
  </si>
  <si>
    <t>Passion is the inner drive that inspires a person to pursue meaningful goals with dedication and perseverance. It provides motivation to keep learning, improving, and overcoming challenges, even when success is not immediate. Passion transforms obstacles into opportunities for growth and encourages individuals to remain focused on their ambitions.
For me, passion is the desire to continuously develop myself through education, service, and personal growth. It motivates me to work hard, manage my time effectively, and remain committed to achieving my academic and career goals. My passion for learning and helping others has inspired me to participate in community charity initiatives and seek opportunities that allow me to make a positive impact. I believe that when passion is combined with discipline, patience, and faith, it becomes a powerful force for success. It not only helps achieve personal goals but also enables individuals to contribute positively to their families, communities, and society as a whole.</t>
  </si>
  <si>
    <t>Yes, I consider myself a creative person because I enjoy finding meaningful and practical ways to solve problems, connect with people, and share ideas. Creativity is not only about art or design; it is also about thinking differently, communicating effectively, and adapting to new situations. I believe these qualities are essential in today's interconnected world.
Creativity can become an effective public diplomacy strategy by helping people communicate across cultural and linguistic differences in ways that are engaging and respectful. Through storytelling, educational initiatives, community service, social media, and cultural exchange programs, creative ideas can foster mutual understanding and build trust between people from different backgrounds. Rather than focusing only on political discussions, public diplomacy can highlight shared values, traditions, and aspirations that unite communities.
I hope to use my creativity by promoting positive dialogue, participating in volunteer activities, and representing my country with respect and integrity. By listening to others, appreciating diverse perspectives, and encouraging collaboration, I can contribute to stronger international relationships. I believe that creative communication has the power to break down stereotypes, inspire cooperation, and create lasting friendships. In this way, creativity becomes a valuable tool for promoting peace, understanding, and meaningful global connections.</t>
  </si>
  <si>
    <t>Google search</t>
  </si>
  <si>
    <t>Public diplomacy and Global Politics</t>
  </si>
  <si>
    <t>Yeman Welay</t>
  </si>
  <si>
    <t>Yemane Dagnew Welay</t>
  </si>
  <si>
    <t>silaskinfe0@gmail.com</t>
  </si>
  <si>
    <t>Shire Endasilase, Ethiopia</t>
  </si>
  <si>
    <t>Ethiopian</t>
  </si>
  <si>
    <t>+251914176578</t>
  </si>
  <si>
    <t>EQ2077405</t>
  </si>
  <si>
    <t>Silas Kinfe Gebrekidan</t>
  </si>
  <si>
    <t>Yemane Dagnew</t>
  </si>
  <si>
    <t>IMG_20260625_032132_032.jpg</t>
  </si>
  <si>
    <t>IMG_20260625_032137_832.jpg</t>
  </si>
  <si>
    <t>Foreign Languages and Literature/English</t>
  </si>
  <si>
    <t>Mekelle University</t>
  </si>
  <si>
    <t>Ethiopia</t>
  </si>
  <si>
    <t>Yemane Eu CV 01.docx</t>
  </si>
  <si>
    <t>Yes, I always believe in making positive change to the world and my community. In my community, I have supported people by sharing information about educational opportunities, scholarships, and humanitarian programs.  I served as a teacher and community worker supporting people to change their lives and understand the world. I also enjoy helping individuals overcome language barriers through translation and interpretation whenever possible. I encourage young people to continue learning and applying for international opportunities that broaden their perspectives. l am committed and believe that creating opportunities, cooperation and creating meaningful change.</t>
  </si>
  <si>
    <t>I believe no single country is the most diplomatically significant because today's global challenges require cooperation among many nations. Diplomatic significance is measured not only by economic or military power but also by the ability to build trust and encourage cooperation, Indonesia stands out as an important diplomatic actor because of its leadership in ASEAN, its commitment to peaceful dialogue, and its role in connecting developed and developing countries. As one of the world's largest democracies with a diverse population, Indonesia promotes regional stability and international cooperation. I believe countries that encourage dialogue, mutual respect, and collaboration make the greatest contribution to diplomacy and global peace</t>
  </si>
  <si>
    <t>Young people are essential to diplomacy because they bring new ideas, creativity, and a willingness to collaborate across cultures. Through education, social media, volunteer work, and international exchanges, youth can build understanding between communities and help reduce prejudice and conflict.
Public diplomacy is about connecting people, not only governments. It promotes mutual understanding through culture, education, communication, and cooperation. I strongly relate to this idea because I believe meaningful relationships between ordinary citizens are the foundation of lasting peace.
As someone interested in humanitarian work and language interpretation, I understand the importance of communication in building trust. Language allows people from different backgrounds to understand one another and work together toward common goals. I hope to use my skills to encourage intercultural dialogue, support international cooperation, and promote respect for diversity.
Participating in the Young Public Diplomacy Summit would help me gain practical knowledge, exchange ideas with young leaders from around the world, and apply what I learn to promote peace, inclusion, and sustainable development in my community and beyond.</t>
  </si>
  <si>
    <t>Passion is the inner motivation that keeps a person moving forward. It gives purpose, encourages continuous learning, and inspires perseverance. For me, passion means serving others, learning new skills, and contributing to my community through communication and international cooperation. These interests have inspired me to improve my skills, seek educational opportunities, participate in international learning programs and prepare for a career where I can contribute to peacebuilding and community development.
I believe passion alone is not enough; it must be combined with hard work, integrity, and continuous learning. Together, these qualities help transform dreams into meaningful achievements that benefit both individuals and society</t>
  </si>
  <si>
    <t>Yes, I consider myself a creative person because I enjoy finding practical ways to connect with people and share knowledge. Creativity in public diplomacy is not only about artistic expression but also about developing innovative ways to build understanding across cultures. If given the opportunity, I would use digital platforms, storytelling, community discussions, and cultural exchange activities to promote dialogue among young people from different countries. I believe personal stories and respectful conversations can reduce stereotypes and encourage empathy.
My background in language and communication would help me create messages that are inclusive and accessible to diverse audiences. I would also encourage collaborative projects where young people work together on common challenges such as education, peacebuilding, environmental sustainability, and community development. An effective public diplomacy strategy should be based on listening, respect, and collaboration rather than persuasion alone. By combining creativity with cultural sensitivity and open communication, we can build stronger international friendships and encourage cooperation that benefits everyone</t>
  </si>
  <si>
    <t>public diplomacy in the 21st century</t>
  </si>
  <si>
    <t>askatabdumitalipov7@gmail.com</t>
  </si>
  <si>
    <t>Rottenbiller 39, 7, Budapest, Hungary</t>
  </si>
  <si>
    <t>+36706375281</t>
  </si>
  <si>
    <t>PE1662894</t>
  </si>
  <si>
    <t>+996707958559</t>
  </si>
  <si>
    <t>@acescheming</t>
  </si>
  <si>
    <t>Askat Abdumitalipov-1139948.ЗАГРАН ПАСПОРТ_compressed.pdf (page 1) (2).jpeg</t>
  </si>
  <si>
    <t>WhatsApp Image 2026-07-04 at 09.39.05.jpeg</t>
  </si>
  <si>
    <t>I am currently a BSc student in International Business Economics</t>
  </si>
  <si>
    <t>International Business Development</t>
  </si>
  <si>
    <t>Budapest University of Economics and Business (BUEB/BGE)</t>
  </si>
  <si>
    <t>Hungary</t>
  </si>
  <si>
    <t>Yes, I am. Through my Business Economics studies, I regularly engage with academic research, data analysis, and literature reviews to write analytical reports and economic essays.  I also applied these skills practically during my internship at the Embassy of the Kyrgyz Republic to Hungary, where I had to research regional developments, analyze economic trends, and synthesize complex information into clear briefings for diplomatic staff.</t>
  </si>
  <si>
    <t>Yes, I have volunteered as a Project Manager for the Interact Club Bishkek (Rotary International) and as a Data Operations Assistant for the Red Cross Kyrgyzstan during the pandemic response.</t>
  </si>
  <si>
    <t>Project Manager at Interact Club Bishkek and Data Operations Assistant at Red Cross Kyrgyzstan.</t>
  </si>
  <si>
    <t>3-4 years</t>
  </si>
  <si>
    <t>Yes. While serving as the Minister of Culture in my school's Student Parliament, I founded a small student volunteer initiative. Recognizing that elderly people in local care homes often face isolation, I brought together a dedicated team of students to organize small-scale community events and fundraising activities. Our goal was to bring companionship and support to the residents, which taught me how to build a team from scratch around a shared social cause.</t>
  </si>
  <si>
    <t>The aim of the initiative was to combat social isolation among residents of local elderly care homes. By organizing small community events and fundraising activities, we sought to provide companionship, improve their well-being, and bridge the generational gap through active youth support.</t>
  </si>
  <si>
    <t>My skillset combines high adaptability to new environments, human-centric leadership focused on team motivation, and solid project management. I also bring strong skills in cross-cultural communication, financial fundraising, and data operations under pressure. Additionally, I have practical experience in economic research, analysis, and drafting professional briefings.</t>
  </si>
  <si>
    <t>Askat Abdumitalipov CV 07.04.2026.docx</t>
  </si>
  <si>
    <t>Yes. To me, changing the world starts with recognizing local needs and adapting to solve them. While serving as Minister of Culture in my school’s Student Parliament, I founded a volunteer initiative to support local elderly care homes, learning how to build and motivate teams from scratch around a shared cause. Later, as a Project Manager for the Interact Club Bishkek, I led over 50 volunteers to raise more than €6,500 for local orphanages. These experiences taught me that real impact doesn't require grand gestures; it requires taking direct responsibility, staying adaptable, and empowering the people around you.</t>
  </si>
  <si>
    <t>I think a diplomatically significant country isn't just one with a massive military or economy, but one that knows how to act as a bridge between different worlds. Places like Switzerland or Singapore are great examples because their neutrality allows everyone to sit at the same table and talk.
To me, true diplomatic weight comes from "soft power"—how a country uses culture, economic cooperation, and youth exchange to build trust. The most significant countries today are the ones that don't isolate themselves, but instead work to bring people together and solve global problems through real conversation.</t>
  </si>
  <si>
    <t>I think the role of youth in diplomacy is crucial, but it must be rooted in education and competence, not noise. History has shown that when people engage in political or diplomatic processes without a genuine understanding of the issues, they become vulnerable to manipulation and populism. True change doesn't come from just raising voices or voting blindly; it comes from informed perspective.
To me, Public Diplomacy is the bridge that solves this problem. It shouldn't be about creating a crowd that shouts slogans; it should be an educational ecosystem that trains young people to analyze global trends, understand economic realities, and think critically. As great philosophers have argued throughout history, decisions that impact society should be driven by knowledge, not just emotion or external influence.
My relationship with Public Diplomacy is centered on this responsibility to learn before leading. As a Business Economics student and a diplomatic intern, I believe the youth's ultimate role is to gain the necessary expertise so that when we speak on the international stage, our contributions are substantively valuable, strategic, and resilient to manipulation.</t>
  </si>
  <si>
    <t>To me, passion isn’t just about the money or the outcome; it’s a deep, internal desire that makes you feel like you've found your true calling. It is the fuel that keeps you moving forward.
When it comes to achieving goals, passion plays a unique role. Achieving a goal is deeply satisfying, but it also brings a strange challenge: once you hit the finish line, that goal is gone, and you leave a piece of yourself behind in that project. If you don't find a new purpose right away, you risk just existing instead of truly living.
This is where passion helps. Because passion is about loving the journey, not just the destination, it prevents you from feeling lost after a success. It immediately drives you to find the next challenge, helping you constantly re-invent yourself and stay motivated for the next big thing.</t>
  </si>
  <si>
    <t>Yes, I consider myself a creative person, but my creativity isn't about art—it's about problem-solving and finding unexpected ways to connect people.
To turn creativity into an effective public diplomacy strategy, you have to move away from boring, traditional lectures and use formats that actually engage the youth. For example, instead of just hosting standard conferences, an effective strategy could involve digital media, interactive cultural simulations, or global youth networking hubs where people learn by doing.
Creativity works best when it serves a practical purpose: it grabs people's attention, breaks down cultural barriers, and delivers serious, educational content in a way that actually sticks.</t>
  </si>
  <si>
    <t>Through scholarship schanels</t>
  </si>
  <si>
    <t>Tala Khaled Abuzaid</t>
  </si>
  <si>
    <t>Abuzaidtala2006@gmail.com</t>
  </si>
  <si>
    <t>totowifi2006@gmail.com</t>
  </si>
  <si>
    <t>Applied Science Private University, Alarab street, Amman, Jordan</t>
  </si>
  <si>
    <t>Jordanian</t>
  </si>
  <si>
    <t>+962798828454</t>
  </si>
  <si>
    <t>R618135</t>
  </si>
  <si>
    <t>+962799512003</t>
  </si>
  <si>
    <t>https://www.linkedin.com/in/tala-abuzaid-123689362?utm_source=share_via&amp;utm_content=profile&amp;utm_medium=member_ios</t>
  </si>
  <si>
    <t>https://www.instagram.com/tala_khaled_abuzaid_06?igsh=YTBlMzRra2tkNTE0&amp;utm_source=qr</t>
  </si>
  <si>
    <t>https://www.facebook.com/share/1H8UENDyGD/?mibextid=wwXIfr</t>
  </si>
  <si>
    <t>passport_document.pdf</t>
  </si>
  <si>
    <t>profile_picture.pdf</t>
  </si>
  <si>
    <t>Bachelor of Pharmacy</t>
  </si>
  <si>
    <t>Applied Science Private University</t>
  </si>
  <si>
    <t>IEEE</t>
  </si>
  <si>
    <t>https://www.ieee.org</t>
  </si>
  <si>
    <t>Participant in training courses</t>
  </si>
  <si>
    <t>Less than a year</t>
  </si>
  <si>
    <t>Leadership, Innovative Thinking, Communication Skills</t>
  </si>
  <si>
    <t>CV pdf 100% .pdf</t>
  </si>
  <si>
    <t>Yes. I believe meaningful change begins with improving ourselves before influencing others. I have invested in developing my academic knowledge, communication skills, and leadership abilities so I can better serve my community. As a pharmacy student, I regularly encourage my classmates, friends, and family members to pursue continuous learning, adopt healthier lifestyles, and support one another during academic challenges. I enjoy sharing what I learn from workshops and courses, believing that knowledge has greater value when it is shared. My long-term goal is to become a healthcare professional who not only treats patients but also inspires healthier, more informed, and compassionate communities.</t>
  </si>
  <si>
    <t>I believe Jordan is one of the world’s most diplomatically significant countries because it consistently promotes dialogue, moderation, and regional stability despite facing complex geopolitical challenges. Jordan has become an important mediator in Middle Eastern affairs, hosts millions of refugees with remarkable humanitarian commitment, and maintains constructive relationships with countries across different regions. Its emphasis on peaceful coexistence, interfaith dialogue, and international cooperation demonstrates how diplomacy can build trust even during difficult times. As a Jordanian student, I am inspired by my country’s diplomatic approach and hope to contribute to strengthening international understanding through healthcare, education, and youth engagement.</t>
  </si>
  <si>
    <t>Young people are powerful ambassadors for peace, innovation, and international cooperation. Through education, cultural exchange, volunteerism, and digital communication, youth can build bridges between societies and challenge stereotypes with understanding and respect. Their energy, creativity, and openness allow them to contribute fresh perspectives to global challenges.
Public diplomacy is especially meaningful to me because it focuses on connecting people rather than only governments. As a pharmacy student, I interact with individuals from different backgrounds and have learned that empathy, active listening, and respectful communication are essential for building trust. Healthcare itself is a form of public diplomacy because compassion and service create positive connections that cross cultural and national boundaries.
Participating in YPDS Jakarta would allow me to exchange ideas with young leaders from different countries, learn from their experiences, and share Jordan’s values of dialogue and coexistence. I hope to combine my healthcare background with leadership and intercultural communication to promote public health awareness, encourage international collaboration, and inspire other young people to become active contributors to a more peaceful and connected world.</t>
  </si>
  <si>
    <t>Passion is the inner drive that motivates a person to keep learning, growing, and overcoming challenges. It transforms goals into consistent action and gives purpose to every effort. Passion is especially important because success rarely comes without persistence, discipline, and resilience.
My passion is improving people’s lives through healthcare and lifelong learning. Studying pharmacy has strengthened my commitment to serving others, while participating in professional workshops has encouraged me to continue developing both my technical and communication skills. Every new experience motivates me to become more knowledgeable and confident.
Passion reminds me that every challenge is an opportunity to grow. It inspires me to remain curious, embrace new opportunities, and work toward becoming a healthcare professional who contributes not only to patient care but also to community education, international cooperation, and positive social impact.</t>
  </si>
  <si>
    <t>Yes, I consider myself a creative person because I enjoy finding practical solutions, communicating ideas effectively, and learning through new experiences. Creativity is not only about artistic talent; it is also about solving problems, connecting people, and presenting ideas in ways that inspire positive action.
In public diplomacy, creativity helps make international dialogue more engaging and accessible. Young people can use social media campaigns, educational videos, cultural exchange events, health awareness initiatives, and collaborative community projects to encourage mutual understanding between different cultures. These activities allow people to discover shared values while appreciating cultural diversity.
As a pharmacy student, I would like to use creative public health campaigns to educate communities about disease prevention, healthy lifestyles, and responsible medicine use. By combining healthcare knowledge with effective communication and digital platforms, I hope to encourage cooperation across borders and demonstrate that science and compassion can unite people regardless of nationality. I believe creativity, empathy, and collaboration are essential tools for building stronger international relationships and promoting lasting peace.</t>
  </si>
  <si>
    <t>From Dr. Samaa Abdullah my professor at the Applied Sciences Private University</t>
  </si>
  <si>
    <t>shazymalik14@gmail.com</t>
  </si>
  <si>
    <t>House 995, Street 43, E-11/3, Islamabad, Islamabad, Pakistan</t>
  </si>
  <si>
    <t>+923335688992</t>
  </si>
  <si>
    <t>EP0769002</t>
  </si>
  <si>
    <t>+923215300696</t>
  </si>
  <si>
    <t>https://www.linkedin.com/in/shehzeen-bakhsh-malik-419b46129?utm_source=share_via&amp;utm_content=profile&amp;utm_medium=member_ios</t>
  </si>
  <si>
    <t>https://www.facebook.com/share/192iSjhhLq/?mibextid=wwXIfr</t>
  </si>
  <si>
    <t>003.jpg, 004.jpg</t>
  </si>
  <si>
    <t>Shehzeen Picture.jpeg</t>
  </si>
  <si>
    <t>MS Engineering Management</t>
  </si>
  <si>
    <t>Master of Science in Engineering Management</t>
  </si>
  <si>
    <t>Engineering Management</t>
  </si>
  <si>
    <t>Bahria University</t>
  </si>
  <si>
    <t>Yes, I have completed by Thesis in MS on Massive Open Online Courses (MOOCs)</t>
  </si>
  <si>
    <t>Project Management</t>
  </si>
  <si>
    <t>Not yet</t>
  </si>
  <si>
    <t>Facilitated and moderated multiple technical training programs. My skill set includes stakeholder coordination, communication, networking, project management, and technical analysis, supported by a strong technical understanding and the ability to work effectively across multidisciplinary teams.</t>
  </si>
  <si>
    <t>Shehzeen Bakhsh CV v6.pdf</t>
  </si>
  <si>
    <t>Yes, but I stopped waiting for the "right moment" to change the world when I realized change starts smaller. In my personal capacity, I have organized food drives during Ramadan for underprivileged families, tutored children in my neighborhood who couldn't afford academic support, and used my professional platform to advocate for equal access to education and technology. I believe peace begins with dignity when people have food, education, and basic rights, conflict loses its fuel. My contribution may be a drop, but I've learned that consistent drops carve stone. Change, for me, is a daily practice.</t>
  </si>
  <si>
    <t>I believe Pakistan is one of the most diplomatically significant countries in the world today. Positioned at the junction of South Asia, Central Asia, and the Middle East, it has repeatedly served as a bridge where others saw only divides. Pakistan helped ease tensions in the Middle East by mediating between Iran and America, facilitated the historic US-China opening in the 1970s, and played a central role in the Afghan peace process. As one of the largest contributors to UN peacekeeping, Pakistan proves that diplomatic relevance comes from geography, courage, and the willingness to host difficult conversations.</t>
  </si>
  <si>
    <t>Young people are no longer just the audience of diplomacy; they are its practitioners. While conventional diplomacy takes place in secluded settings, today's diplomacy happens on timelines, campuses, and online communities where young people naturally engage. As digital natives, we can humanize the image of a state far more effectively than press releases, while bringing fresh perspectives and genuine dialogue.
The concept of public diplomacy resonates with me because I have seen how perception shapes reality. Pakistan is often known only through headlines, whereas the Pakistan I know is a country of hospitality, resilience, poetry, and talented youth. Public diplomacy is about telling the complete story of a nation through cultural exchange, student interactions, art, sports, and sincere dialogue rather than propaganda.
I relate to this personally. Every time I interact with people from other countries, I represent my country through the way I listen, communicate, uphold my values, and handle differences. These interactions have the power to shape perceptions, strengthen mutual understanding, and build lasting connections between people and nations.</t>
  </si>
  <si>
    <t>For me, passion is what keeps me going when motivation fades. Motivation comes and goes, but passion stays. It is the reason I put extra effort into my work and always try to give my best.
Passion has shaped the way I learn and grow. It encourages me to take on responsibilities beyond my role, develop new skills, and treat every task with care and dedication. When I face challenges, I see them as opportunities to improve rather than reasons to stop.
Goals give us direction, but passion gives us the determination to reach them. It has taught me discipline, patience, and the value of continuous learning. Without passion, work is just a task. With passion, every effort has purpose, and that purpose inspires me to keep improving every day.</t>
  </si>
  <si>
    <t>Yes, though my creativity isn't limited to art; it lives in how I solve problems, tell stories, and present ideas. Professionally, I transform dense, technical information into visuals and narratives that decision-makers actually engage with.
If I applied this to public diplomacy, my strategy would rest on one belief: people don't connect with countries; they connect with people. So instead of promoting Pakistan through slogans, I would promote it through faces and voices. Imagine a campaign called "One Cup of Tea", where a Pakistani student, a shopkeeper, or a grandmother sits down virtually with someone across the world and simply talks. No script, no agenda. Just two humans discovering how similar their fears, jokes, and dreams are.
I would also flip the usual approach: rather than telling the world about Pakistan, I would invite the world to ask us anything, openly and honestly, even the uncomfortable questions. Honesty is disarming, and disarming is diplomatic.
My creativity, at its core, is empathy with imagination. And public diplomacy, done right, is exactly that: imagination in the service of understanding.</t>
  </si>
  <si>
    <t>Public Diplomacy Workshops and Networking</t>
  </si>
  <si>
    <t>Shakhodat YUdosheva</t>
  </si>
  <si>
    <t>sh.yoldosheva@sharoitplus.uz</t>
  </si>
  <si>
    <t>Qozirobod 20, Tashkent, Uzbekistan</t>
  </si>
  <si>
    <t>Uzbekistani</t>
  </si>
  <si>
    <t>+998900455044</t>
  </si>
  <si>
    <t>FA9466002</t>
  </si>
  <si>
    <t>+998993662981</t>
  </si>
  <si>
    <t>https://www.linkedin.com/in/shahodat-yo-ldosheva-453145278/?lipi=urn%3Ali%3Apage%3Ad_flagship3_profile_view_base_contact_details%3Bz0VZvS1FRoCVnUkY5T6K4w%3D%3D</t>
  </si>
  <si>
    <t>https://www.instagram.com/shahodat_yoldosheva/#</t>
  </si>
  <si>
    <t>https://www.facebook.com/shahodat.yoldosheva</t>
  </si>
  <si>
    <t>Internatsional_passport.pdf</t>
  </si>
  <si>
    <t>Photo.jpg</t>
  </si>
  <si>
    <t>Higher education</t>
  </si>
  <si>
    <t>Translator and ELS teacher</t>
  </si>
  <si>
    <t>National University of Uzbekistan</t>
  </si>
  <si>
    <t>Uzbekistan</t>
  </si>
  <si>
    <t>Yes, nowadays I am doing my Master's thesis.</t>
  </si>
  <si>
    <t>The United Nations</t>
  </si>
  <si>
    <t>https://unvolunteers.exposure.co/disability-isnt-the-problem-the-barrier-is</t>
  </si>
  <si>
    <t>Disability-Inclusive Communications and Outreach Specialist</t>
  </si>
  <si>
    <t>3 months</t>
  </si>
  <si>
    <t>A public speaker, a singer</t>
  </si>
  <si>
    <t>Shahodat_CV_Europass.pdf</t>
  </si>
  <si>
    <t>I thought a lot about that and ended up with the concept of tiny good actions mentioned in the book called "The Strength of the Weak ".
I believe that if we do a good job every day, changes will happen gradually from the ground up. On the above level, the law and policies need to work.</t>
  </si>
  <si>
    <t>No countries are considered absolute diplomatic hegemons of the world and have a total role in international diplomacy. There are countries such as USA, China, Russia, EU, and so on with a huge effect, but they differ according to the scenario.</t>
  </si>
  <si>
    <t>The role of the youth is significant in diplomacy and public policy. As we are the younger generation, we may offer a new perspective on a certain issue. We have young energy and creativity, which are needed a lot in international diplomacy.  We need a healthy circulation of authority to develop culturally, economically, and socially.</t>
  </si>
  <si>
    <t>For me, passion is a strong catalyst that gets energy from our internal state.
Passion gives us energy to deal with troubles and tolerate the pain while fighting for what we want.</t>
  </si>
  <si>
    <t>I would describe myself as an analytical and solution-oriented professional. I do not decide quickly or too creatively, preferring to observe comprehensively and consider multiple variations, offering solutions accordingly.</t>
  </si>
  <si>
    <t>Inclusive institutions' effect on sustainable development and peace</t>
  </si>
  <si>
    <t>asliddinwb@gmail.com</t>
  </si>
  <si>
    <t>Maxtimquli 97/2, Tashkent, Uzbekistan</t>
  </si>
  <si>
    <t>Uzbek</t>
  </si>
  <si>
    <t>+998905058481</t>
  </si>
  <si>
    <t>FA7721842</t>
  </si>
  <si>
    <t>+998947472111</t>
  </si>
  <si>
    <t>https://uz.linkedin.com/in/849060272</t>
  </si>
  <si>
    <t>@asliddin_sg</t>
  </si>
  <si>
    <t>photo_2024-08-07_20-01-32.jpg</t>
  </si>
  <si>
    <t>photo_2024-05-11_16-29-07.jpg</t>
  </si>
  <si>
    <t>Becholars</t>
  </si>
  <si>
    <t>Tourism Management</t>
  </si>
  <si>
    <t>Silk Road International University of Tourism and Cultural Heritage</t>
  </si>
  <si>
    <t>UNWTO, EBRD</t>
  </si>
  <si>
    <t>https://www.ebrd.com/home.html</t>
  </si>
  <si>
    <t>2023-2024</t>
  </si>
  <si>
    <t>Leader, Entrepreneur, Data-driven decision making</t>
  </si>
  <si>
    <t>Asliddin CV.pdf</t>
  </si>
  <si>
    <t>Yes, I believe meaningful change starts with individual actions. As a final-year Tourism University student, I have actively participated in diplomacy and management conferences to improve my understanding of global cooperation and leadership. I also volunteered with the UN World Tourism Organization (UNWTO), where I supported initiatives promoting sustainable tourism and international collaboration. These experiences taught me the importance of cultural exchange, teamwork, and responsible leadership. I also encourage my peers to engage in volunteer activities and discussions on global issues. I believe that by educating ourselves and serving our communities, we can contribute to a more peaceful and sustainable world.</t>
  </si>
  <si>
    <t>I believe that Switzerland is one of the most diplomatically significant countries in the world. It is known for its neutrality, commitment to peace, and role as a host for many international organizations, including the United Nations and the World Health Organization. Switzerland provides a platform where countries with different interests can engage in dialogue and resolve conflicts peacefully. Its strong tradition of diplomacy demonstrates that trust, cooperation, and respect are essential for international relations. I admire Switzerland’s approach because it emphasizes negotiation over conflict and promotes global stability and humanitarian values.</t>
  </si>
  <si>
    <t>Young people are essential to the future of diplomacy because they bring fresh ideas, innovation, and a willingness to collaborate across cultures. In today’s interconnected world, youth can promote understanding through education, technology, cultural exchange, and volunteer work. They also play an important role in addressing global challenges such as climate change, sustainable development, and peacebuilding.
I relate strongly to the concept of public diplomacy because it focuses on building relationships between people, not only governments. As a Tourism University student, I have participated in diplomacy and management conferences where I interacted with people from different backgrounds and learned the value of dialogue and mutual respect. My volunteering experience with UNWTO strengthened my understanding of how tourism can connect cultures and encourage international cooperation.
I believe public diplomacy begins with listening, respecting different perspectives, and representing your country with integrity. In the future, I hope to use my education and experiences to promote cultural understanding, sustainable tourism, and stronger international partnerships. I am committed to being a responsible young leader who contributes positively to global cooperation.</t>
  </si>
  <si>
    <t>Passion is the inner motivation that inspires people to work hard, continue learning, and overcome challenges. For me, passion is my desire to build a career in tourism and international diplomacy. It encourages me to participate in conferences, volunteer with international organizations, and continuously improve my communication and leadership skills.
My passion has helped me remain focused throughout my academic journey. It motivated me to gain practical experience through UNWTO volunteering and to engage in diplomatic and management-related events beyond the classroom. These opportunities have strengthened my confidence and broadened my perspective on global issues. I believe that passion, combined with dedication and discipline, is the key to achieving meaningful personal and professional goals.</t>
  </si>
  <si>
    <t>Yes, I consider myself a creative person because I enjoy finding new ways to connect with people and solve problems. Creativity is an important part of public diplomacy because it helps communicate ideas in ways that inspire understanding and cooperation.
As a tourism student, I have learned that culture, heritage, and storytelling are powerful tools for building positive international relationships. Through my participation in diplomacy conferences and my volunteer experience with UNWTO, I realized that creative campaigns, cultural events, social media, and educational exchanges can strengthen a country’s image and encourage dialogue between different communities.
If given the opportunity, I would develop public diplomacy initiatives that highlight cultural diversity, sustainable tourism, and youth engagement. I would use digital platforms to share inspiring stories, organize intercultural events, and encourage collaboration between young people from different countries. By combining creativity with effective communication and respect for different cultures, public diplomacy can build trust, reduce misunderstandings, and create long-lasting international partnerships.</t>
  </si>
  <si>
    <t>Google search and scholarship portal</t>
  </si>
  <si>
    <t>Public Diplomacy in the 21st Century, because it focuses on international communication, cultural exchange, and building stronger relationships between nations.</t>
  </si>
  <si>
    <t>zakaria Abdi-rachid</t>
  </si>
  <si>
    <t>Djibouti Blablaba Djibouti, Djibouti Blablaba Djibouti, Djibouti, Djibouti</t>
  </si>
  <si>
    <t>Djiboutian</t>
  </si>
  <si>
    <t>+252634593763</t>
  </si>
  <si>
    <t>16RF16932</t>
  </si>
  <si>
    <t>https://www.linkedin.com/in/zakaria-abdi-rachid-abdi-zudesib97438318/</t>
  </si>
  <si>
    <t>https://www.instagram.com/zakariye_sudeysi?igsh=cGtzdHBvcGh6dzY4&amp;utm_source=qr</t>
  </si>
  <si>
    <t>https://www.facebook.com/saki.cismaan/</t>
  </si>
  <si>
    <t>WhatsApp Image 2026-06-30 at 17.09.11.jpeg</t>
  </si>
  <si>
    <t>1.jpeg</t>
  </si>
  <si>
    <t>bechalors</t>
  </si>
  <si>
    <t>mechanical engineering</t>
  </si>
  <si>
    <t>energy</t>
  </si>
  <si>
    <t>IUT OIC BANGLADESH</t>
  </si>
  <si>
    <t>IUT</t>
  </si>
  <si>
    <t>Volunteer, 34th Convocation, Islamic University of Technology (IUT) – Assisted in event coordination and logistics. Admission Test Volunteer (2022) – Supported administrative tasks during the university admission process. Organizer, Robotics Competition – Planned and managed a university-level robotics competition. Team Leader, IUT Robotics Society – Led initiatives and supervised technical projects. Jury Member, Robotics Event – Evaluated participants performance and technical solutions.</t>
  </si>
  <si>
    <t>https://www.iutoic-dhaka.edu/</t>
  </si>
  <si>
    <t>volunteer, organiser, speaker etc</t>
  </si>
  <si>
    <t>engineer</t>
  </si>
  <si>
    <t>Yes. I believe change begins with small, consistent actions rather than waiting for big opportunities. In my community, I have helped classmates and younger students by sharing learning resources, guiding them with studies, and encouraging them to apply for educational opportunities. I also volunteer my time to support community activities whenever possible and use social media to spread awareness about education, youth development, and positive social values. These experiences have taught me that creating impact is not always about leading large projects—it is about being willing to help, inspire, and contribute wherever you can.</t>
  </si>
  <si>
    <t>I believe no single country is the most diplomatically significant because global challenges require cooperation rather than dominance. However, I consider Indonesia highly significant due to its strategic location, diverse society, and active role in regional and international diplomacy. As the largest economy in Southeast Asia and a founding member of ASEAN, Indonesia often serves as a bridge between developed and developing nations. Its commitment to dialogue, peaceful conflict resolution, and multilateral cooperation makes it an important diplomatic actor in addressing issues such as climate change, regional security, economic development, and cultural understanding.</t>
  </si>
  <si>
    <t>Young people play an important role in diplomacy because they bring fresh ideas, creativity, and a willingness to work across cultures. In today's interconnected world, diplomacy is no longer limited to government officials. Students, volunteers, entrepreneurs, and young leaders contribute by building understanding through education, cultural exchange, social initiatives, and digital communication. Their voices help address global issues while encouraging cooperation instead of division.
I relate strongly to the idea of public diplomacy because I believe meaningful relationships between people can be just as influential as formal negotiations. Every interaction with someone from a different background is an opportunity to promote respect, challenge stereotypes, and learn from one another. Through community engagement, knowledge sharing, and conversations with people from diverse perspectives, I have realized that trust is built through listening as much as speaking.
For me, public diplomacy is about representing my values, culture, and community with openness while remaining eager to understand others. I hope to contribute by creating spaces for dialogue, supporting collaborative initiatives, and encouraging young people to participate in solving shared challenges. I believe lasting international cooperation begins with genuine human connections, and youth have the energy and responsibility to strengthen those connections for a more peaceful and inclusive future.</t>
  </si>
  <si>
    <t>Passion is the inner motivation that keeps a person committed to a purpose even when progress is slow or challenges arise. It is more than excitement; it is the determination to keep learning, improving, and contributing because the work has meaning. Passion gives direction to our efforts and turns goals into long-term commitments instead of temporary interests.
In my life, passion reminds me to stay focused on personal growth and creating a positive impact in my community. Whenever I face setbacks, it encourages me to adapt rather than give up. It also pushes me to seek new opportunities, develop new skills, and connect with people who inspire me to think beyond my own experiences.
I believe goals are achieved through consistent effort, and passion provides the energy to maintain that effort. With passion, obstacles become learning experiences, and every step forward becomes part of a meaningful journey toward making a difference.</t>
  </si>
  <si>
    <t>Yes, I consider myself a creative person because I enjoy finding practical and engaging ways to connect with people and solve problems. For me, creativity is not only about artistic talent but also about thinking differently, adapting to new situations, and communicating ideas in ways that others can easily understand.
I believe creativity is an essential part of effective public diplomacy. In a world filled with information, meaningful stories and authentic conversations have the power to build trust across cultures. If I were developing a public diplomacy strategy, I would focus on using digital platforms, cultural exchange, and youth-led initiatives to encourage dialogue rather than one-way communication. Simple campaigns that highlight shared values, local traditions, and personal experiences can help reduce stereotypes and strengthen mutual understanding.
I also believe collaboration is a creative process. Bringing together young people from different countries to exchange ideas, work on community projects, or discuss global challenges can create lasting relationships that formal diplomacy alone cannot achieve. By combining creativity with empathy and active listening, public diplomacy becomes more inclusive, relatable, and impactful, allowing people from diverse backgrounds to see one another as partners rather than strangers.</t>
  </si>
  <si>
    <t>Energy and Sustainable Development.</t>
  </si>
  <si>
    <t>Muhammad Umar Lawan</t>
  </si>
  <si>
    <t>umarparouq7@gmail.com</t>
  </si>
  <si>
    <t>Sony krivoy street 79, Chelyabink, Nigeria</t>
  </si>
  <si>
    <t>+79085843067</t>
  </si>
  <si>
    <t>A13486652</t>
  </si>
  <si>
    <t>+2347030971045</t>
  </si>
  <si>
    <t>https://www.linkedin.com/in/umar-muhammad-952729177?utm_source=share_via&amp;utm_content=profile&amp;utm_medium=member_android</t>
  </si>
  <si>
    <t>https://www.instagram.com/itz.umarr?igsh=azM1em13YTZtdGk4</t>
  </si>
  <si>
    <t>https://www.facebook.com/umar.muhammad.lawan.5346</t>
  </si>
  <si>
    <t>IMG_20260323_141814.jpg</t>
  </si>
  <si>
    <t>avito-1770012100036-shot.jpg</t>
  </si>
  <si>
    <t>Medical Biology</t>
  </si>
  <si>
    <t>Biotechnology</t>
  </si>
  <si>
    <t>South Ural State University Chelyabinsk</t>
  </si>
  <si>
    <t>National Union of Yobe State Student</t>
  </si>
  <si>
    <t>National Welfare Director, representing thousands of students, advocating for educational  support and hygiene programs in secondary schools</t>
  </si>
  <si>
    <t>Yes. I founded a youth-led organization with the mission of empowering young people through education, leadership development, community service, and health awareness. The organization was established in response to the challenges many young people face, particularly limited access to educational opportunities and health information. Our goal is to inspire young people to become active citizens by promoting volunteerism, organizing educational and hygiene awareness campaigns in schools, and supporting leadership development. We believe that investing in young people creates stronger communities and future leaders. Through these initiatives, we aim to equip youth with the knowledge, skills, and confidence to make meaningful contributions to society and drive sustainable positive change.</t>
  </si>
  <si>
    <t>Leadership, public speaking, scientific research, community engagement, project coordination, teaching, teamwork, cross-cultural communication, problem-solving, adaptability, and scientific writing.</t>
  </si>
  <si>
    <t>Muhammad Umar Lawan CV_044948.pdf</t>
  </si>
  <si>
    <t>Yes. I believe meaningful change begins with individual action. Growing up in Nigeria, I witnessed how poverty and limited opportunities affected many young people. Instead of accepting these challenges, I volunteered to teach science subjects, mentored students, and founded a youth-led organization focused on education, leadership, and community service. I also conducted research on the impact of malaria parasites on the liver profile status of children to contribute to improving public health. Today, studying in Russia has broadened my perspective and strengthened my commitment to promoting cross-cultural understanding, education, and collaboration as tools for creating lasting positive change.</t>
  </si>
  <si>
    <t>I consider Indonesia a highly diplomatically important country because it shows how cultural diversity and open dialogue can enhance relations between nations. Coming from Nigeria and currently studying in Russia, I have personally learned the value of interacting with people from different backgrounds and building understanding across cultural differences. Indonesia’s approach to fostering regional cooperation through ASEAN and maintaining balanced relations with major global powers reflects a strong commitment to peace, unity, and inclusiveness.</t>
  </si>
  <si>
    <t>Youth play an essential role in diplomacy as they represent energy, innovation, and the future of international relations. They are not only future leaders but also active participants in shaping global understanding today through education, dialogue, and cross-cultural engagement. In an increasingly connected world, young people can break stereotypes, promote mutual respect, and build bridges between communities.
I personally relate to public diplomacy through my lived experiences and academic journey. Growing up in Nigeria, I saw how limited opportunities and insecurity affect young people, but I also experienced how education can transform lives. This motivated me to remain committed to learning, which later gave me the opportunity to study in Russia. Living in a multicultural environment has helped me understand different perspectives and strengthened my ability to communicate across cultures.
Through my volunteering in teaching science subjects and my research on malaria’s impact on children’s liver health, I have contributed in my own capacity to education and public health awareness. These experiences show me that diplomacy is not only practiced by governments but also by individuals who share knowledge and foster understanding. I see public diplomacy as a tool for young people like me to connect communities, promote cooperation, and contribute to solving global challenges.</t>
  </si>
  <si>
    <t>Youth play a crucial role in diplomacy because they are future leaders and powerful agents of change. Through education, innovation, and cross-cultural engagement, young people can build understanding between communities and countries. In a world facing conflicts, inequality, and misinformation, youth can promote dialogue, tolerance, and cooperation.
I strongly relate to the idea of public diplomacy because my life reflects the power of international connections. Growing up in Nigeria, I faced challenges associated with poverty and insecurity, yet I remained committed to education. That commitment eventually gave me the opportunity to study in Russia, where I interact daily with people from different cultures, languages, and beliefs. These experiences have taught me the importance of mutual respect and understanding.
In my personal capacity, I have volunteered to teach science subjects to students in my community, believing that education can transform lives just as it transformed mine. I have also conducted research on the impact of malaria parasites on the liver profile status of children, addressing a health challenge that affects many communities in Africa. Through education, research, and cultural exchange, I aim to contribute to public diplomacy by building bridges between people, sharing knowledge, and promoting international cooperation for a better future.</t>
  </si>
  <si>
    <t>Yes, I consider myself a creative person, especially in how I approach learning, problem-solving, and communication. Creativity, for me, is the ability to connect ideas, adapt to new environments, and find meaningful ways to share knowledge with others.
This creativity can be turned into an effective public diplomacy strategy by using communication and education as tools to build understanding between people from different cultures. For example, my experience moving from Nigeria to Russia has helped me learn how to interact with individuals from diverse backgrounds. This has strengthened my ability to listen, adapt, and communicate ideas clearly across cultural differences.
In public diplomacy, creativity can be used to design educational outreach, cultural exchange activities, and youth-led initiatives that promote mutual respect and cooperation. My experience in teaching science subjects in my community shows how complex ideas can be simplified and shared to inspire others. Similarly, my research on malaria and child health demonstrates how scientific knowledge can be used to address real societal challenges and communicate important health messages.
By combining creativity with education and cross-cultural understanding, I can contribute to public diplomacy by building bridges between communities, encouraging dialogue, and promoting shared solutions to global challenges.</t>
  </si>
  <si>
    <t>Scholarships websites</t>
  </si>
  <si>
    <t>Youth Leadership and Global Engagement</t>
  </si>
  <si>
    <t>Sanaullah Baburi</t>
  </si>
  <si>
    <t>sanaullahbaburi8@gmail.com</t>
  </si>
  <si>
    <t>Jalan Ahmad Yani 117, Surabaya, Indonesia</t>
  </si>
  <si>
    <t>Afghan</t>
  </si>
  <si>
    <t>+6285182296416</t>
  </si>
  <si>
    <t>P00356805</t>
  </si>
  <si>
    <t>+6285700662935</t>
  </si>
  <si>
    <t>https://www.instagram.com/sanaullah_baburi?igsh=MTVjY2I4dW1naHJocg%3D%3D&amp;utm_source=qr</t>
  </si>
  <si>
    <t>My passport.pdf</t>
  </si>
  <si>
    <t>Baburi- Formal Picture.jpg</t>
  </si>
  <si>
    <t>Internatinal Relations</t>
  </si>
  <si>
    <t>Airlangga University</t>
  </si>
  <si>
    <t>Malaysia, Japan</t>
  </si>
  <si>
    <t>Yes, Foreign Policy Community of Indonesia</t>
  </si>
  <si>
    <t>https://fpcindonesia.org/</t>
  </si>
  <si>
    <t>Speaker, Liasion Officer</t>
  </si>
  <si>
    <t>Youth Center for Dialogue and Peace</t>
  </si>
  <si>
    <t>Empowering Youth, Fostering Dialogue, Building Peace</t>
  </si>
  <si>
    <t>CV-Baburi.pdf</t>
  </si>
  <si>
    <t>I believe that meaningful change begins at the community level through dialogue and inclusive participation. In my personal capacity, I have volunteered in peacebuilding and consensus-building initiatives, bringing together young people and community members to address local challenges, particularly environmental issues and the responsible use of shared resources. Rather than promoting predetermined solutions, I encourage constructive dialogue where every voice, especially those of youth and underrepresented groups, is heard and respected. By fostering trust, mutual understanding, and collaborative decision-making, I strive to create practical, sustainable solutions that strengthen communities and contribute to a more peaceful and inclusive society.</t>
  </si>
  <si>
    <t>I believe China is one of the most diplomatically significant countries in the world due to its expanding global influence and active engagement in international affairs. It possesses the world's largest diplomatic network, reflecting its commitment to building relationships across continents. Through economic cooperation, infrastructure investment, and initiatives such as the Belt and Road Initiative, China has strengthened partnerships with both developed and developing countries. It has also increasingly contributed to conflict mediation and regional dialogue, demonstrating its growing role in promoting stability. By combining economic statecraft, multilateral engagement, and strategic diplomacy, China has become an indispensable actor in shaping contemporary global governance.</t>
  </si>
  <si>
    <t>Youth play a crucial role in diplomacy because they bring fresh perspectives, innovative ideas, and the ability to build bridges across cultures. In an increasingly interconnected world, diplomacy extends beyond government negotiations. Young people contribute by promoting intercultural dialogue, combating misinformation, advocating for peace, and fostering international cooperation through education, volunteerism, and global youth networks. Their active participation helps strengthen mutual understanding and creates long-term solutions to shared global challenges.
I relate strongly to the idea of public diplomacy because I believe meaningful international relations begin with people-to-people connections. As an International Relations student, I have represented youth in international conferences, Model United Nations, peacebuilding initiatives, and cross-cultural exchange programs. These experiences have shown me that diplomacy is not only practiced by diplomats but also by young leaders who engage communities, exchange ideas, and promote trust across borders.
Coming from Afghanistan and studying in Indonesia has further strengthened my understanding of public diplomacy. Living and learning in a multicultural environment has taught me the importance of listening to different perspectives, respecting diversity, and transforming dialogue into cooperation. I believe youth are not merely the future of diplomacy but active contributors to it today, using communication, collaboration, and leadership to advance peace, sustainable development, and stronger international partnerships.</t>
  </si>
  <si>
    <t>Passion is the inner drive that gives purpose to our actions and keeps us committed despite challenges. For me, my passion is advocating for peace, human dignity, and international cooperation. It has inspired me to study International Relations, participate in international conferences, engage in peacebuilding initiatives, and work on projects related to diplomacy and sustainable development. Every experience has strengthened my belief that meaningful dialogue and youth leadership can create lasting positive change. My passion continues to guide my academic and professional journey toward becoming a peace advocate who promotes understanding, empowers communities, and contributes to a more peaceful and inclusive world.</t>
  </si>
  <si>
    <t>Yes. I express my creativity by transforming complex issues into meaningful conversations that people can relate to. Drawing on my experience in international conferences, peacebuilding initiatives, and youth leadership programs, I would develop a public diplomacy strategy centered on youth-led dialogue and digital storytelling. By sharing real stories of peacebuilding, organizing intercultural discussions, and using social media to amplify positive narratives, I can help build trust, counter misinformation, and encourage cooperation across cultures. I believe public diplomacy is most effective when it creates genuine people-to-people connections, and I want to use my communication skills to inspire young people to become active advocates for peace and international understanding.</t>
  </si>
  <si>
    <t>Public Diplomacy between China-USA</t>
  </si>
  <si>
    <t>Phonsikhay Village, Pakse, Lao, People's Democratic Republic</t>
  </si>
  <si>
    <t>Lao</t>
  </si>
  <si>
    <t>+8562078189962</t>
  </si>
  <si>
    <t>P2968858</t>
  </si>
  <si>
    <t>ttoma_tm1</t>
  </si>
  <si>
    <t>Phouangphan_Latphakdy_Passport[1].pdf</t>
  </si>
  <si>
    <t>Phouangphan_Picture.png</t>
  </si>
  <si>
    <t>Bachelor of Arts in English Language</t>
  </si>
  <si>
    <t>English Language</t>
  </si>
  <si>
    <t>National University of Laos</t>
  </si>
  <si>
    <t>Lao PDR</t>
  </si>
  <si>
    <t>Iowa Wesleyan University, United States (Global UGRAD Exchange Program)</t>
  </si>
  <si>
    <t>Although my degree was not research-intensive, i  have experience conducting academic research, preparing reports, collecting and analyzing information, and presenting findings as part of my university coursework. I am interested in strengthening my research skills through international oppportunities.</t>
  </si>
  <si>
    <t>https://aseanfoundation.org</t>
  </si>
  <si>
    <t>ASEAN Youth Volunteer</t>
  </si>
  <si>
    <t>eYAA: 2025</t>
  </si>
  <si>
    <t>Supply Chain &amp; Administrative Officer at World Vision Lao PDR. I support procurement, logistics, travel coordination, workshops, trainings, field activities, documentation, compliance, and administrative operations for development projects while coordinating with project teams, government counterparts, partners, and service providers.</t>
  </si>
  <si>
    <t>• Project Coordination • Procurement • Administration • Logistics Management • Stakeholder Engagement • Cross-cultural Communication • Leadership • Public Speaking • Event &amp; Workshop Coordination • Community Engagement • Sustainability Advocacy • English–Lao Translation &amp; Interpretation • Microsoft Office • Report Writing</t>
  </si>
  <si>
    <t>Phouangphan_Latphakdy_CV_Young_Public_Diplomacy_Summit_2026.pdf</t>
  </si>
  <si>
    <t>Yes, but I do not think changing the world starts with one big action. I believe it begins with small actions that encourage others to get involved. That is why I have volunteered in education and environmental initiatives, including Zero Waste Laos, Pakse Youth's Power, and the ASEAN Youth Volunteer program. Through these experiences, I worked with young people and local communities to promote environmental awareness and sustainable practices. Today, working at World Vision Lao PDR has shown me how teamwork and community participation can create positive change. These experiences continue to inspire me to learn, contribute, and make a difference in my community.</t>
  </si>
  <si>
    <t>I do not believe there is only one diplomatically significant country because today's challenges require cooperation among many nations. If I had to choose one, I would say Indonesia because of its leadership within ASEAN and its commitment to regional cooperation and cultural understanding. During the ASEAN Youth Volunteer program, I had the opportunity to work with young people from different ASEAN countries in Indonesia. That experience helped me realize that diplomacy is not only about discussions between governments. It is also about building trust, respecting different perspectives, and working together to address shared challenges.</t>
  </si>
  <si>
    <t>I believe young people play an important role in diplomacy because we bring fresh ideas, build friendships across cultures, and encourage dialogue within our communities. Public diplomacy is not only about governments. It is also about how individuals represent their country, share their culture, and build mutual understanding through everyday interactions.
My understanding of public diplomacy comes from my own experiences. During the Global UGRAD Exchange Program in the United States, I lived and studied with people from different countries and cultures. The experience broadened my perspective and taught me the importance of listening, respecting different viewpoints, and communicating openly. Later, as an ASEAN Youth Volunteer, I collaborated with young leaders from Southeast Asia on environmental initiatives. Although we came from different backgrounds, we shared a common goal of creating positive change in our communities. Today, working at World Vision Lao PDR allows me to coordinate with project teams, government counterparts, service providers, and local communities. These experiences have strengthened my communication, teamwork, and coordination skills while showing me the importance of collaboration in achieving shared goals. They continue to motivate me to learn from others and contribute to stronger understanding and cooperation between people and communities.</t>
  </si>
  <si>
    <t>To me, passion is what keeps us moving forward even when we face challenges. It motivates us to keep learning, improving, and working toward something meaningful. My passion is supporting communities, promoting sustainable development, and creating opportunities for young people to learn and grow. This passion encouraged me to apply for the Global UGRAD Exchange Program, volunteer in environmental initiatives, and pursue a career in the development sector. Each experience has taught me something different. Volunteering showed me the value of community service. Studying in the United States broadened my perspective and strengthened my confidence. Working at World Vision has helped me understand how teamwork and good coordination contribute to successful development projects. These experiences continue to inspire me to grow personally and professionally while contributing to my community and my country.</t>
  </si>
  <si>
    <t>Yes, I believe I am creative, but for me creativity is not only about having new ideas. It is about finding practical ways to connect with people and encourage positive action. During the ASEAN Youth Volunteer program, I worked with other young leaders on the Membumi (Zero Food Waste) project. I learned that people are more likely to support an idea when they understand how it connects to their daily lives. That experience taught me the importance of using simple communication, teamwork, and community participation to create meaningful impact. If I had the opportunity to develop a public diplomacy strategy, I would focus on sharing real stories from communities, encouraging youth exchanges, and using social media to promote dialogue and cultural understanding. I believe storytelling helps people appreciate different cultures, challenge stereotypes, and build stronger relationships. My experience at World Vision has also shown me that successful projects depend on collaboration between communities, government agencies, and development partners. I believe creativity helps strengthen these partnerships by making communication more engaging, inclusive, and accessible. Public diplomacy is most effective when people feel respected, heard, and inspired to work together toward shared goals.</t>
  </si>
  <si>
    <t>Public Diplomacy in the 21st Century, Cultural Diplomacy, Global Politics, and International Cooperation</t>
  </si>
  <si>
    <t>habdulbosith@gmail.com</t>
  </si>
  <si>
    <t>Istiqlol street 10, Baghdad, Uzbekistan</t>
  </si>
  <si>
    <t>+998939690058</t>
  </si>
  <si>
    <t>AE2187272</t>
  </si>
  <si>
    <t>+998903005858</t>
  </si>
  <si>
    <t>www.linkedin.com/in/abdulbosit-alijonov-88b593374</t>
  </si>
  <si>
    <t>5454178432775746083_121.jpg</t>
  </si>
  <si>
    <t>5296632864789175792_121.jpg</t>
  </si>
  <si>
    <t>11th Grade</t>
  </si>
  <si>
    <t>Baghdad Agro Technological College</t>
  </si>
  <si>
    <t>To be honest, not</t>
  </si>
  <si>
    <t>Admire Debate, Ibrat Debate</t>
  </si>
  <si>
    <t>Public speaking, debating, leadership, teamwork, event organization, communication, problem-solving, critical thinking, and English proficiency.</t>
  </si>
  <si>
    <t>Resume.pdf</t>
  </si>
  <si>
    <t>Yes․ I believe that small actions can lead to great change․ I have also organized and trained in debate and youth leadership exercises calling for rational thinking and forward-looking civic engagement from young people․ I have provided environmental awareness‚ urging young people to adopt eco-friendly practices‚ and keeping the environment clean by reducing and recycling waste․ I share my knowledge and experiences‚ encourage colleagues to develop their skills․ I reflect and incorporate feedback to improve my contributions‚ which have been modest․ Sustained effort and involvement will have a positive impact on communities․</t>
  </si>
  <si>
    <t>The US ranks as one of the most important countries in the world‚ because of its number of international partnerships‚ its influence on regional and global organizations‚ and its ability to tackle security‚ trade‚ climate change and humanitarian issues with a global impact‚ and thus the need to collaborate with other countries in its diplomatic initiatives․ But the world today is a multipolar world․ China‚ the member states of the European Union‚ the other big countries that demand to be heard‚ the regional powers and good diplomacy is not about being big and dominating․ It is about dialogue‚ mutual respect and cooperating․</t>
  </si>
  <si>
    <t>For this reason‚ the youth are integral to diplomacy: they are the innovators and the ones able to bridge the intercultural gaps and‚ nowadays‚ diplomacy is not exclusive to governments․ Through international exchanges‚ volunteering‚ debate on global issues‚ intercultural dialogue‚ and by mobilizing and cooperating online and across other digital spaces‚ by building trust and tolerance among people from diverse backgrounds as well as by tackling stereotypes‚ youth can contribute towards addressing issues like climate change‚ education crisis‚ peacebuilding and security․
I firmly believe in the concept of public diplomacy․ The best relationship between two nations is first built on the foundation of a relationship between people․ Through debating‚ any other youth exchange or international event‚ I have learnt the importance of respect‚ listening to others‚ and acting as a representative for my community․ For me‚ public diplomacy means the diplomacy of education‚ culture and exchanges‚ which create opportunities rather than problems․ As a young person‚ my goal is to meet and connect with people of different backgrounds and exchange opinions with them․ I do believe that within every discussion‚ every project‚ and every partnership‚ we are building a stronger friendship between nations and a more peaceful world․</t>
  </si>
  <si>
    <t>Passion is the fuel that drives people to work tirelessly toward their goals․ It is what gives meaning to their work and helps them stay focused and motivated even in the face of challenges․ This passion has pushed me to improve my English‚ participate in debates‚ and take part in youth leadership programs․ It has fed my desire to improve my English‚ improve my debating skills‚ and develop my leadership skills in youth organizations․ It is a process that requires learning‚ discipline and perseverance․ When you work hard with passion‚ the problem becomes the opportunity․ Finding your passion doesn't mean finding your way to success‚ but finding your way to how you can contribute your talents to society․</t>
  </si>
  <si>
    <t>Yes‚ I believe I am a creative person․ I enjoy finding new ideas and different ways to solve problems․ Creativity is about communication and collaboration‚ it is about diversity and understanding․ It is not only about art‚ music‚ or design․ I have learned to express my own ideas and encourage others to share theirs with others through debates‚ youth programs and school activities․
I think that creativity is a powerful tool that can be used in public diplomacy․ For example‚ culture‚ social media‚ education‚ and youth exchanges can naturally and meaningfully convey the values‚ the culture‚ the meaning of a country‚ without the discussions that sometimes occur in political debates․ In addition to political debate‚ it also fosters mutual understanding and trust between people with different cultural backgrounds․ As a young person‚ I would like to use my communication skills and creativity to organize projects to strengthen the connections between students from different countries and cultures․ We can lessen the stereotypes and build international friendships if we talk‚ listen to each other and positively exchange our experiences with each other․ I believe that imagination can inspire people‚ positively impact cooperation and create relationships․ These qualities should animate public diplomacy․</t>
  </si>
  <si>
    <t>Public Diplomacy and International Relations</t>
  </si>
  <si>
    <t>Tasheknt, Uzbekistan</t>
  </si>
  <si>
    <t>+998935109991</t>
  </si>
  <si>
    <t>AD2906882</t>
  </si>
  <si>
    <t>+998934617911</t>
  </si>
  <si>
    <t>IMG_20260625_134810.jpg</t>
  </si>
  <si>
    <t>IMG_20260609_013557_977.jpg</t>
  </si>
  <si>
    <t>Filology</t>
  </si>
  <si>
    <t>Tashkent State University of Oriental Studies</t>
  </si>
  <si>
    <t>None</t>
  </si>
  <si>
    <t>Translater</t>
  </si>
  <si>
    <t>resume.docx</t>
  </si>
  <si>
    <t>Yes, I have always believed that meaningful change starts with small actions. As a university student, I try to contribute by promoting education, intercultural understanding, and youth engagement. I often assist my peers in academic activities, share educational resources, and encourage discussions about global issues. Learning English and studying international relations have allowed me to connect with people from different backgrounds and perspectives. I believe that building understanding between cultures is one of the most effective ways to create a peaceful world. Through continuous learning and community involvement, I aim to make a positive impact that extends beyond my immediate environment.</t>
  </si>
  <si>
    <t>I believe Indonesia is one of the most diplomatically significant countries in today's world. As the largest economy in Southeast Asia and a leading member of ASEAN, Indonesia plays a vital role in promoting regional stability, cooperation, and dialogue. Its foreign policy often emphasizes peace, neutrality, and constructive engagement between nations. Indonesia's cultural diversity also makes it a powerful example of coexistence and mutual respect. In an increasingly interconnected world, countries that can bridge different cultures and perspectives are especially important. Indonesia's growing influence demonstrates how diplomacy can foster development, understanding, and international collaboration.</t>
  </si>
  <si>
    <t>Youth play a crucial role in diplomacy because they represent the future of international cooperation and global leadership. In today's interconnected world, young people have the ability to influence opinions, build cross-cultural relationships, and promote mutual understanding through education, technology, and communication.
I relate strongly to the concept of public diplomacy because I believe diplomacy is no longer limited to government officials. Students, researchers, social activists, and young leaders can also serve as bridges between cultures. Through language learning, academic engagement, and intercultural dialogue, young people can challenge stereotypes and create meaningful connections across borders.
As a student of Oriental Studies, I am particularly interested in understanding different cultures, histories, and political systems. Learning about diverse societies has strengthened my belief that respect and dialogue are essential for solving global challenges. Public diplomacy provides a platform where young people can exchange ideas, share experiences, and contribute to peacebuilding efforts.
Participating in international programs such as YPDS would allow me to expand my knowledge, develop leadership skills, and collaborate with youth from around the world. I hope to use these experiences to promote intercultural understanding and encourage constructive dialogue in my community and beyond.</t>
  </si>
  <si>
    <t>Passion is the inner drive that motivates people to pursue their goals despite challenges and obstacles. It provides purpose, determination, and the willingness to keep learning even when progress seems slow.
My passion lies in international relations, diplomacy, and intercultural communication. This passion motivates me to improve my English proficiency, expand my academic knowledge, and actively seek opportunities that broaden my perspective. Whenever I face difficulties, passion reminds me why I started and encourages me to continue working toward my goals.
Passion transforms ordinary effort into meaningful commitment. It helps individuals remain focused, resilient, and adaptable in a rapidly changing world. For me, passion is not only about personal success but also about contributing positively to society. It inspires me to become a responsible global citizen who promotes dialogue, understanding, and cooperation among people from different cultures and backgrounds.</t>
  </si>
  <si>
    <t>Yes, I consider myself a creative person because I enjoy finding innovative ways to communicate ideas and connect with people from different backgrounds. Creativity is an essential skill in public diplomacy because effective communication requires more than facts; it requires stories, empathy, and cultural understanding.
I believe creative public diplomacy should focus on people-to-people connections. One strategy I would promote is using digital storytelling to highlight cultural similarities between different nations. Through short videos, social media campaigns, and youth-led discussions, people can learn about each other's traditions, values, and experiences in an engaging way.
As a student, I have learned that many misunderstandings arise from a lack of communication rather than actual differences. Creative platforms can help overcome these barriers by making dialogue accessible and relatable. I would also encourage virtual cultural exchange projects where young people collaborate on common challenges and share solutions from their local communities.
By combining creativity, technology, and intercultural dialogue, public diplomacy can become more inclusive and impactful. Such approaches help build trust, reduce stereotypes, and strengthen international relationships among future generations of global leaders.</t>
  </si>
  <si>
    <t>My University's official channel on telegram</t>
  </si>
  <si>
    <t>r.levia_asriana@ymail.com</t>
  </si>
  <si>
    <t>Kampung Tutugan 28 A, Bandung Barat, Indonesia</t>
  </si>
  <si>
    <t>+6285717023594</t>
  </si>
  <si>
    <t>X1194562</t>
  </si>
  <si>
    <t>+628121491132</t>
  </si>
  <si>
    <t>www.linkedin.com/in/rleviaasriana</t>
  </si>
  <si>
    <t>leviathan.owl</t>
  </si>
  <si>
    <t>PASSPORT.jpg</t>
  </si>
  <si>
    <t>PASS PHOTO 2.png</t>
  </si>
  <si>
    <t>Bachelor of Education</t>
  </si>
  <si>
    <t>Bachelor of Education in Civic Education</t>
  </si>
  <si>
    <t>Indonesia University of Education</t>
  </si>
  <si>
    <t>Student Executive Board (HMCH), Indonesia University of Education</t>
  </si>
  <si>
    <t>https://upi.edu</t>
  </si>
  <si>
    <t>Head of Social &amp; Community Affairs</t>
  </si>
  <si>
    <t>3+ years</t>
  </si>
  <si>
    <t>Leadership, Community Development, Project Coordination, Public Speaking, Stakeholder Engagement, Operations Management, Customer Support, Administrative Management, Cross-cultural Communication, Event Coordination, Strategic Planning, Research, English Communication.</t>
  </si>
  <si>
    <t>Academic CV.pdf</t>
  </si>
  <si>
    <t>I believe meaningful change begins with small, consistent actions rather than grand promises. As Head of Social &amp; Community Affairs in my university's student executive board, I organized community outreach and educational initiatives that encouraged civic participation. I also volunteered as a Super Mentor in the Deall Career Mentoring Festival, supporting young Indonesians in their career development. Professionally, I have worked with multicultural teams across different countries, strengthening my ability to communicate across cultures. These experiences taught me that creating opportunities, sharing knowledge, and connecting people are practical ways to contribute to society.</t>
  </si>
  <si>
    <t>Rather than identifying a single most important country, I believe countries that build bridges between regions have the greatest diplomatic significance. Indonesia is one of them. As the world's third-largest democracy and a founding member of ASEAN, Indonesia has demonstrated an ability to maintain constructive relationships with countries holding different political and economic interests. In an increasingly polarized world, diplomacy should focus on dialogue, cooperation, and mutual respect instead of rivalry. Countries that encourage collaboration across cultures and regions will play the most significant diplomatic role in the future.</t>
  </si>
  <si>
    <t>Young people bring fresh perspectives, technological literacy, and a willingness to collaborate across cultures. Public diplomacy is no longer limited to governments. Students, professionals, educators, entrepreneurs, and community leaders all contribute to shaping how countries understand one another.
Throughout my academic, professional, and volunteer experiences, I have worked with people from Indonesia, Cambodia, the Netherlands, the United Arab Emirates, and other international environments. These experiences taught me that listening, respecting different perspectives, and solving problems together are essential diplomatic skills.
I believe public diplomacy starts with everyday interactions. Every conversation, partnership, and community initiative has the potential to build trust between people from different backgrounds. By participating in this summit, I hope to exchange ideas, learn from other young leaders, and represent Indonesia as someone committed to dialogue, cooperation, and inclusive leadership.</t>
  </si>
  <si>
    <t>Passion is not simply enthusiasm. It is the discipline to continue learning and improving despite setbacks. My passion lies in public service, international collaboration, and lifelong learning. It motivated me to study abroad, pursue international work opportunities, and continue volunteering even while building my professional career. Passion keeps me focused on long-term goals instead of temporary obstacles. I believe meaningful leadership comes from consistency, resilience, and a genuine desire to contribute to others. This mindset has helped me adapt to different cultures, work in multicultural environments, and continue seeking opportunities to create positive impact.</t>
  </si>
  <si>
    <t>I consider creativity to be the ability to connect people and ideas in practical ways. Effective public diplomacy requires clear communication, empathy, and cultural understanding rather than complex political language. I would use digital platforms, storytelling, and community-based projects to encourage dialogue between young people from different countries. Instead of focusing only on formal discussions, I believe cultural exchange, collaborative projects, and educational initiatives create stronger and longer-lasting international relationships. My professional background in operations, communication, and stakeholder coordination has taught me how to organize people around shared goals. I hope to apply these skills to create initiatives that encourage cooperation, mutual respect, and sustainable partnerships beyond the duration of the summit.</t>
  </si>
  <si>
    <t>Weldemariyam Simret Yaynu</t>
  </si>
  <si>
    <t>yaynusimret@gmail.com</t>
  </si>
  <si>
    <t>+60188702695</t>
  </si>
  <si>
    <t>EP9152144</t>
  </si>
  <si>
    <t>+251911774676</t>
  </si>
  <si>
    <t>passport png.jpeg</t>
  </si>
  <si>
    <t>pic.jpeg</t>
  </si>
  <si>
    <t>Computer science</t>
  </si>
  <si>
    <t>Data science</t>
  </si>
  <si>
    <t>Multimedia university</t>
  </si>
  <si>
    <t>Yes. I volunteered with the Pharo Foundation through a school community programme.</t>
  </si>
  <si>
    <t>https://www.pharofoundation.org/</t>
  </si>
  <si>
    <t>volunteer</t>
  </si>
  <si>
    <t>Cv.PDF}.pdf</t>
  </si>
  <si>
    <t>What makes the world warmer, fairer, or harsher is its people. I believe every action can bring out the best or worst in society and shape the world around us. During a conflict in my country, I volunteered in programmes supporting displaced people, even when their side had raised weapons against my own. They, too, had lost homes and buried people they loved, and grief has no nationality. I could not stop the conflict, but I could offer food, shelter, understanding, and kindness. I supported girls and boys equally through academic help and spoke up whenever I witnessed injustice.</t>
  </si>
  <si>
    <t>I would say Switzerland is one of the most diplomatically significant countries in the world. Despite its small size, it has earned global trust through neutrality, stability, and a strong commitment to peaceful communication. Geneva is home to many international organisations and often serves as a meeting place for negotiations and humanitarian discussions. Switzerland also helps countries communicate when formal diplomatic relations are difficult or broken. What makes it significant to me is that its influence does not come from military power, but from trust and credibility. It shows that calm communication can sometimes achieve more than force ever could.</t>
  </si>
  <si>
    <t>Some of the strongest bridges between nations are not built in government halls. They begin when a young person chooses curiosity over judgment, conversation over silence, and the courage to question rather than be manipulated into conflict by those who exploit division for political gain. Youth bring energy, creativity, courage, and fresh perspectives to diplomacy. We are also highly connected through social media, which can be a powerful tool for public diplomacy. Through these platforms, we can challenge stereotypes, encourage peaceful dialogue, and speak up for global issues such as climate change, education, equality, and peace. Our voices can cross borders within seconds and reach people who may never be included in formal diplomatic discussions. However, with that power comes responsibility. We must communicate respectfully, verify information, and think carefully before sharing anything online. 
As an international student, public diplomacy is not an abstract idea to me. I experience it through ordinary moments like a conversation after class, a shared meal, or a question about someone’s traditions. Each interaction gives me a chance to share my culture while opening a window into another person’s world. These moments may seem small, but they can quietly challenge prejudice and reduce misunderstanding.</t>
  </si>
  <si>
    <t>Passion is not only about what we are willing to sacrifice for, but also about what makes us feel alive while doing so. It helps me achieve my goals because it lifts my spirit when I feel close to breaking from burnout. Passion gives me the strength to pause, recover, dust myself off, and rise to try again. It is not simply about enjoying something. It means caring enough to invest my time, effort, and patience so that I can grow and improve. I am passionate about learning, meeting people from different backgrounds, diplomacy, and technology. These interests encourage me to understand different perspectives, connect with others, and find ways to contribute to my community. I know that nothing comes easily, which is why I believe passion must be supported by discipline, courage, and action, especially when giving up feels much easier.</t>
  </si>
  <si>
    <t>I consider myself a creative person because I enjoy finding engaging ways to express ideas. My creativity is reflected in event planning, communication, and technology. My university is home to many international students, so a Cultural Expo is organised every year. This year, I had the opportunity to serve as one of the committee members. From this experience, I realised that public diplomacy does not always have to be formal or distant. It can happen through moments that give people a reason to meet and understand one another.
During the event, each country had a booth where students introduced their culture through traditional food, clothing, and objects. However, I wanted visitors to do more than walk past and observe. I wanted them to step into the experience. For that reason, I created photo corners using traditional clothing and cultural decorations. What began as a small idea soon became one of the liveliest spaces at the event. People gathered, laughed, took photographs, asked questions, and exchanged stories.
I would strengthen this strategy through social media videos, student ambassadors, and workshops. A speech may explain a culture, but a creative experience allows people to feel it and remember the people behind it.</t>
  </si>
  <si>
    <t>Global Opportunity website</t>
  </si>
  <si>
    <t>Victoria Agbondimwin Erhahon</t>
  </si>
  <si>
    <t>vicerhahon@gmail.com</t>
  </si>
  <si>
    <t>15, Ologometa Bus Stop, Ijoko Road, Akute, Nigeria</t>
  </si>
  <si>
    <t>+2349041440565</t>
  </si>
  <si>
    <t>B01883996</t>
  </si>
  <si>
    <t>+234802349163</t>
  </si>
  <si>
    <t>https://www.linkedin.com/in/victoria-agbondimwin/</t>
  </si>
  <si>
    <t>Victoria Erhahon - Passport Bio Data.pdf</t>
  </si>
  <si>
    <t>Victoria Erhahon - Headshot.jpg</t>
  </si>
  <si>
    <t>Bachelor of Arts</t>
  </si>
  <si>
    <t>Theatre Arts</t>
  </si>
  <si>
    <t>University of Ibadan</t>
  </si>
  <si>
    <t>https://N/A</t>
  </si>
  <si>
    <t>Founder</t>
  </si>
  <si>
    <t>Nil</t>
  </si>
  <si>
    <t>Film Sales Agent, Theatre Production</t>
  </si>
  <si>
    <t>Victoria Erhahon - CV 2026 - Summits, Forums and Conferences.pdf</t>
  </si>
  <si>
    <t>Before founding my film sales agency, I noticed film buyers and distribution companies focused more on films from the Western world to be sold to global audiences. Even film festivals had sections for North American films and Spanish-speaking films but didn't have sections for films from other countries besides countries that are of major focus (USA, UK, Canada, Australia, and Mexico). I decided to establish my film sales agency that focused on representing films with strong cultural identity themes.</t>
  </si>
  <si>
    <t>The United States and China are the diplomatically significant countries in the world. For global sales, the U.S. dollar is the main currency used, not even the euro or pounds that have a higher value than the dollar. In most cases, whenever there is a change in policy as it regards immigration, Canada, the UK, and Australia tend to follow the same pathways in changing their policies. China is a global manufacturing powerhouse. When I think of vendors on Alibaba, Temu, and AliExpress, China comes to mind.</t>
  </si>
  <si>
    <t>My theatrical background taught me the power of empathy and how to build and mold narratives that transcend beyond the local territories they were born in. In my new role as a founder, I am a cultural gatekeeper and a bride builder. The world needs to see quality films rooted in the countries they are born in. I believe stories can still be told through a cultural lens. My film sales start-up business packages films from diverse parts of the world rooted in culture and exports them directly to a global audience through cinema. As a film sales startup founder, I've realized public diplomacy happens people to people, and nothing connects people faster than stories. With this in mind, I do not see public diplomacy as an abstract political idea but a tangible and unavoidable commercial practice.
The role of youths today is to disrupt channels that are stale using creativity, agility, and technology. As a young founder, I don't wait for the government alliances to build international relationships. We are correctly in talks with filmmakers from india and argentina to help position their films to global audiences.</t>
  </si>
  <si>
    <t>I see passion as the fire that burns within the soul of a person. For the fire to keep burning, you need to keep fanning the flames. Passion is the driving force that pushes someone into perfecting a skill they have no foundational knowledge of. Passion keeps the human interest at an all-time high to devour knowledge on a particular industry. I remember in 2018 when I learned makeup artistry, I would read several magazines to see the editorial looks that were created on the models and as soon as possible recreate those looks on my friends and send them to my trainer to assess and critique. I did the same for bridal looks. The passion I had for makeup made me want to keep trying to get better even when, at that point in time, my skills were nowhere near good.</t>
  </si>
  <si>
    <t>Yes, my creativity is rooted in recognizing and selecting stories rooted in culture that transcend beyond the home country they were born in and building commercial medium and strategies to share them with a global audience. As a film sales founder, I see cinema as the absolute and efficient tool for public diplomacy because moving pictures evoke empathy quicker than policy papers. A great movie has the ability to evoke emotions from the audience. Have you ever seen an audience hate an actor because of the antagonistic role he/she played in the movie? The audience automatically thinks that's the true character of the actor in real life. For a strategy to be effective, it needs to leverage the arts and media (film and entertainment) in order to humanize a nation, shift global perceptions, and build economic soft power. We've all seen how the media shapes a popular figure or celebrity, and the audience's perception of that person changes just because of what they've read or heard in the news. People tend to trust the media more without doing due diligence of cross-checking and waiting for time to reveal if the broadcasted information is true or false.</t>
  </si>
  <si>
    <t>opportunitiescorners.com</t>
  </si>
  <si>
    <t>Strategic Communication &amp; Soft, Smart and Hard Power</t>
  </si>
  <si>
    <t>Rana Ali</t>
  </si>
  <si>
    <t>Rana Ali Mohammed Ahmed Al-Attri</t>
  </si>
  <si>
    <t>Jordan -Amman, Amman, Jordan</t>
  </si>
  <si>
    <t>Yemeni</t>
  </si>
  <si>
    <t>+962 7 9196 5862</t>
  </si>
  <si>
    <t>09796528</t>
  </si>
  <si>
    <t>IMG_2914.png</t>
  </si>
  <si>
    <t>photo-output.png</t>
  </si>
  <si>
    <t>4,24 / 5</t>
  </si>
  <si>
    <t>Dentistry</t>
  </si>
  <si>
    <t>Aden University</t>
  </si>
  <si>
    <t>Yemen</t>
  </si>
  <si>
    <t>Yes. I have been involved in volunteer activities that focus on community support and youth engagement. Through these experiences, I have contributed to organizing initiatives, supporting social causes, and working collaboratively with others to create a positive impact. These opportunities have strengthened my communication skills, sense of responsibility, and commitment to serving the community.</t>
  </si>
  <si>
    <t>https://www.undp.org</t>
  </si>
  <si>
    <t>4years</t>
  </si>
  <si>
    <t>In 2022, I served as a member of the Young Leaders initiative under the United Nations Development Programme (UNDP). As part of a community service project funded through this initiative, I collaborated with peers on activities aimed at creating a positive social impact. The project was implemented in partnership with the Arab Youth Center in Abu Dhabi, United Arab Emirates.</t>
  </si>
  <si>
    <t>I worked as a Content Editor for one of the social media channels of the Young Leaders Foundation, a community initiative supported by the United Nations Development Programme (UNDP). I was responsible for developing and editing content to raise awareness and promote community engagement.</t>
  </si>
  <si>
    <t>1221f31e-e5a0-4b97-920a-9047b0f8beb4.jpeg</t>
  </si>
  <si>
    <t>Yes, I have always believed that changing the world begins with making a difference in the lives of people around us. In my personal capacity, I have participated in community initiatives, contributed to awareness activities, and volunteered in youth-focused projects. As a dentist, I have also sought to promote health awareness and support those in need whenever possible. I have used my communication and content creation skills to encourage positive engagement within my community. These experiences taught me that meaningful impact does not require extraordinary resources, but rather compassion, responsibility, and a sincere commitment to serving others.</t>
  </si>
  <si>
    <t>In my opinion, Switzerland is one of the most diplomatically significant countries in the world. Its long-standing neutrality, commitment to peace, and role as a host for international organizations have made it a trusted platform for dialogue and cooperation. Switzerland has contributed to conflict mediation, humanitarian efforts, and the promotion of international law. I believe its diplomatic approach demonstrates how a country can build influence not only through economic or military power, but also through trust, stability, and a commitment to global cooperation. These qualities make Switzerland an important actor in addressing international challenges.</t>
  </si>
  <si>
    <t>I believe that diplomacy is not limited to governments and official representatives. Every individual has the ability to contribute to building understanding and strengthening connections between people from different backgrounds. In my role as a healthcare professional and a volunteer, I have learned the importance of communication, empathy, and mutual respect in creating positive change.
I relate strongly to the idea of public diplomacy because it focuses on people-to-people engagement and the power of dialogue. Through community initiatives, content creation, and interactions with diverse groups, I have sought to promote cooperation, understanding, and shared values. I believe that public diplomacy begins with listening to others, respecting cultural differences, and using our skills to serve society.
My role in diplomacy is to be a responsible global citizen who encourages constructive dialogue and contributes to building bridges between communities. I believe that meaningful change often starts with individuals who are willing to engage, collaborate, and inspire others through their actions and values.</t>
  </si>
  <si>
    <t>Passion, to me, is the inner drive that gives meaning to what we do and motivates us to keep moving forward, even when challenges arise. It is not only about having dreams, but also about having the dedication and perseverance to turn those dreams into reality.
My passion for healthcare, learning, and community service has encouraged me to continuously develop my skills and seek opportunities that allow me to make a positive impact. It has taught me the importance of patience, discipline, and lifelong learning. Whenever I face difficulties, passion reminds me why I started and gives me the motivation to continue.
I believe that passion is one of the most important factors in achieving goals because it transforms ambitions into actions and helps individuals remain committed to their purpose while striving to create meaningful change.</t>
  </si>
  <si>
    <t>Yes, I consider myself a creative person because I enjoy finding practical solutions, adapting to new situations, and communicating ideas in ways that bring people together. I believe creativity is not limited to art or innovation; it is also the ability to understand different perspectives and turn challenges into opportunities.
In diplomacy, creativity plays an important role in building trust and encouraging dialogue. I believe that effective diplomatic strategies require open-mindedness, empathy, and the ability to connect with people from diverse cultural backgrounds. Through my experiences in healthcare, volunteering, and content creation, I have learned how meaningful communication can promote cooperation and mutual understanding.
I see diplomacy as a process of creating bridges rather than barriers. By listening carefully, respecting differences, and encouraging collaboration, I believe creative thinking can be transformed into effective diplomatic action that contributes to peaceful relationships and positive change within communities and across nations.</t>
  </si>
  <si>
    <t>U contact me in email</t>
  </si>
  <si>
    <t>Among the available modules, I am particularly interested in Public Diplomacy in the 21st Century. I find this topic especially relevant in today’s interconnected world, where communication, cultural exchange, and people-to-people engagement play a vital role in shaping international relations.  What attracts me most to this program is its emphasis on dialogue, mutual understanding, and the use of modern tools to build bridges between communities. Coming from a healthcare and volunteer background, I have witnessed the importance of trust, communication, and collaboration in creating positive change.  I believe that public diplomacy has the power to strengthen international cooperation and encourage peaceful solutions to global challenges. Participating in this module would allow me to broaden my perspective, learn from diverse experiences, and contribute more effectively to promoting understanding and cooperation across cultures.</t>
  </si>
  <si>
    <t>aslamadeeba0@gmail.com</t>
  </si>
  <si>
    <t>Islamabad, Pakistan, Islamabad, Pakistan, Islamabad, Pakistan</t>
  </si>
  <si>
    <t>03334396929</t>
  </si>
  <si>
    <t>VQ1834521</t>
  </si>
  <si>
    <t>03215007888</t>
  </si>
  <si>
    <t>Passport.jpeg</t>
  </si>
  <si>
    <t>Adeeba.jpg</t>
  </si>
  <si>
    <t>MBA/ MS in Public Administration</t>
  </si>
  <si>
    <t>MPA (18 Years) Public Administration</t>
  </si>
  <si>
    <t>HRM</t>
  </si>
  <si>
    <t>University of the Punjab, Lahore</t>
  </si>
  <si>
    <t>06 months Volunteer in Children Hospital</t>
  </si>
  <si>
    <t>Dy. Director (HR&amp;Admn) / Sr. Instructor (Management)</t>
  </si>
  <si>
    <t>A. Curriculum Vitae.pdf</t>
  </si>
  <si>
    <t>Yes, I have always believed that meaningful change starts with individual action. After completing my MBA in HR, I volunteered for six months at a children's hospital, where I learned the importance of compassion, service and supporting vulnerable communities. Throughout my professional career in WAPDA, I have contributed to employee development through career management, training and capacity-building initiatives. Currently, as a Senior Instructor at WAPDA Administrative Staff College, I mentor and train professionals to enhance their skills and effectiveness. By combining community service, education and professional development, I strive to create a positive and lasting impact on individuals and society.</t>
  </si>
  <si>
    <t>In my view, the United States remains one of the most diplomatically significant countries in the world due to its influence on global governance, international security, economic stability and multilateral cooperation. As a key member of major international institutions and alliances, it plays a central role in addressing global challenges such as climate change, conflict resolution, public health and sustainable development. However, diplomatic significance is not solely based on power, it also depends on the ability to foster dialogue and partnerships. Effective diplomacy requires collaboration among nations and influential countries have a responsibility to promote peace, mutual understanding and shared progress.</t>
  </si>
  <si>
    <t>Youth are not merely the leaders of tomorrow; they are active stakeholders in shaping the world today. In an era defined by globalization and digital connectivity, young people play a crucial role in promoting intercultural dialogue, countering misinformation, fostering mutual understanding and advocating peaceful solutions to global challenges. Their energy, creativity and adaptability make them powerful contributors to diplomacy and international cooperation.
I strongly relate to the concept of Public Diplomacy because it emphasizes building trust and understanding through people-to-people engagement. Throughout my career in the public sector, I have worked in career management, training and capacity building, helping individuals develop their potential and contribute effectively to their institutions. As a Senior Instructor at WAPDA Administrative Staff College, I facilitate learning, communication and professional collaboration among diverse groups of professionals.
My volunteer experience at a children's hospital further strengthened my belief in empathy, service and human connection as foundations of meaningful engagement. Public diplomacy, to me, is about creating bridges across cultures, professions and communities through dialogue and mutual respect. By participating in YPDS Jakarta 2026, I hope to enhance my understanding of strategic communication, peacebuilding and cultural diplomacy while contributing my professional experiences to a global network of emerging leaders committed to positive change.</t>
  </si>
  <si>
    <t>Passion is the inner drive that inspires individuals to pursue their goals with commitment, resilience and purpose. It is the force that keeps us motivated despite challenges and encourages continuous learning and self-improvement. Passion transforms aspirations into meaningful actions and helps individuals remain focused on creating a positive impact.
In my own journey, passion has been the foundation of both my academic and professional achievements. My dedication to learning enabled me to secure first position in my MPA, earn gold medals and receive merit-based distinctions. Professionally, my passion for human resource development and capacity building has motivated me to contribute to career management, training and professional growth initiatives within the public sector. As a Senior Instructor, I find fulfilment in mentoring and empowering others to reach their potential.
I believe passion not only helps individuals achieve their goals but also inspires them to serve others, lead with purpose, and contribute meaningfully to society.</t>
  </si>
  <si>
    <t>Yes, I consider myself a creative person, particularly in how I approach communication, training and problem-solving in my professional role. Creativity, for me, is not limited to artistic expression; it also includes finding innovative ways to engage people, simplify complex ideas and encourage meaningful participation in learning and development processes.
In my career in human resource management and training, I have used creativity to make sessions more interactive and impactful, ensuring that participants remain engaged and are able to connect theoretical knowledge with practical application. As a Senior Instructor at WAPDA Administrative Staff College, I design and deliver learning experiences that encourage dialogue, critical thinking and collaboration among professionals from diverse backgrounds. This requires adapting communication styles and using creative approaches to connect with different audiences effectively.
In the context of public diplomacy, I believe creativity is a powerful tool for building bridges between cultures and societies. Creative storytelling, strategic communication and innovative use of dialogue platforms can help shape positive narratives, reduce misunderstandings and foster mutual trust. By applying my professional experience in training and communication, I can contribute to public diplomacy strategies that are people-centered, inclusive and focused on strengthening understanding across cultural and institutional boundaries. I aim to use creativity as a means to promote cooperation, empathy and shared global values.</t>
  </si>
  <si>
    <t>The program module that interests me the most is Strategic Communication and Public Diplomacy. In an era defined by rapid information flow, geopolitical complexity and digital influence, strategic communication has become central to shaping narratives, building trust and advancing peaceful international engagement. I am particularly interested in how states and institutions design communication strategies that not only inform but also influence perceptions, reduce polarization and strengthen diplomatic relationships across cultures.  With my professional background in human resource development and training within the public sector, I have observed how communication directly affects institutional effectiveness, collaboration and capacity building. As a Senior Instructor at WAPDA Administrative Staff College, I engage with professionals from diverse functional areas, which has strengthened my understanding of how structured communication and dialogue can enhance cooperation and shared understanding.  From a public diplomacy perspective, I am especially interested in the intersection of strategic messaging, soft power and people-to-people engagement in addressing contemporary global challenges such as misinformation, cultural fragmentation and declining institutional trust. This module aligns with my aspiration to evolve from organizational training and development into a broader role that contributes to policy-level understanding of communication as a diplomatic tool.  I hope to gain advanced insight into how communication frameworks are developed and applied at the international level to support peacebuilding, cooperation and inclusive global discourse.</t>
  </si>
  <si>
    <t>himi8666@gmail.com</t>
  </si>
  <si>
    <t>Ellidabraut 18, 110, Reykjavik, India</t>
  </si>
  <si>
    <t>7689899</t>
  </si>
  <si>
    <t>U0078878</t>
  </si>
  <si>
    <t>9667091124</t>
  </si>
  <si>
    <t>https://www.linkedin.com</t>
  </si>
  <si>
    <t>@himi8666</t>
  </si>
  <si>
    <t>@vartikajoshi</t>
  </si>
  <si>
    <t>Passport Vartika Joshi .pdf</t>
  </si>
  <si>
    <t>IMG_7576.jpeg</t>
  </si>
  <si>
    <t>PG Diploma</t>
  </si>
  <si>
    <t>Naval Architecture</t>
  </si>
  <si>
    <t>Indian Institute of Technology, Delhi</t>
  </si>
  <si>
    <t>Tieedi</t>
  </si>
  <si>
    <t>https://www.tieedi.in</t>
  </si>
  <si>
    <t>A nature and youth promoter , ex sailor and Circumnavigator. currently working in environment services,the world’s first facility on Direct air capture as a facilities manager.</t>
  </si>
  <si>
    <t>CV VARTIKA JOSHI - PM.docx</t>
  </si>
  <si>
    <t>Yes — though I’ve learned that changing the world begins with changing yourself first. As the first Asian woman to skipper an all-female circumnavigation, I sailed across oceans to show young people that boundaries are often self-imposed, not real. That journey taught me discipline, humility, and resilience I now bring to my work at Climeworks, the world’s first direct air capture facility, where I help build solutions to climate change at scale. Each step - from ocean to atmosphere - has been less about grand gestures and more about quiet, persistent commitment: to the sea, to the planet, and to becoming someone capable of the work.</t>
  </si>
  <si>
    <t>Iceland. A nation of under 400,000 people, yet it punches far above its weight diplomatically — bridging Europe, the Arctic, and North America, while leading globally on renewable energy and climate diplomacy. Living and working here at Climeworks, I’ve seen how Iceland’s quiet, pragmatic diplomacy , rooted in geothermal energy, ocean stewardship, and Arctic Council leadership - offers a model for soft power built on competence rather than military might. Having sailed through dozens of countries, I’ve come to believe diplomatic significance isn’t always about size or wealth, but about a nation’s willingness to lead by example on shared global challenges like climate change.</t>
  </si>
  <si>
    <t>Youth are not the diplomats of tomorrow — they are diplomats today. In an interconnected world, young people build bridges across cultures through travel, sport, art, and shared causes long before they hold any formal title. They carry fewer historical grievances and more willingness to listen, which makes them powerful informal ambassadors at a time when formal diplomacy often moves too slowly for the urgency of issues like climate change.
I relate deeply to public diplomacy because my own journey has been a form of it -without ever calling it that. When I skippered an all-female crew around the globe, we weren’t representing a government, yet everywhere we docked, we became informal ambassadors for India, for women, and for the idea that boundaries are more mental than real. Now, working at the world’s first direct air capture facility, I find myself again translating complex science into stories people can feel - between Iceland and the rest of the world, between climate policy and lived urgency.
Public diplomacy, to me, is simply this: showing up as your authentic self, and letting your actions speak a language everyone understands.</t>
  </si>
  <si>
    <t>Passion, to me, isn’t a burst of excitement - it’s a quiet, stubborn commitment that survives boredom, fear, and failure. It’s what gets you up before dawn to train for a circumnavigation no one expects you to finish, or keeps you grounded in solving climate change even when the work is unglamorous and slow.
Passion has helped me achieve my goals by acting as an anchor during uncertainty. At sea, when storms tested every plan, it was passion - not perfection -that kept me steady. In my transition from the Navy to ocean sailing to climate work, passion has been the thread connecting seemingly different chapters into one coherent purpose: protecting the natural world I’ve come to love.
It doesn’t always feel like fire. Often, it feels like patience. And it’s that quiet, sustained patience - more than any single moment of inspiration -that has carried me furthest.</t>
  </si>
  <si>
    <t>Yes, I’d say I am -though I think of diplomacy less as tact and more as the ability to hold space for different truths without losing your own. Years at sea taught me to read people and situations quickly, stay calm under pressure, and find common ground with strangers in ports where I didn’t speak the language.
To turn this into an effective public diplomacy strategy, I’d lean on what already works: storytelling rooted in lived experience rather than rhetoric. My circumnavigation and my work in direct air capture both give me access to two universal languages - adventure and the climate crisis — that cut across politics and borders. I’d combine this with consistent, authentic visibility: speaking engagements, written reflections, and partnerships with youth and ocean-conservation networks. Public diplomacy works best when it’s not an announcement, but an invitation - to see the world, and your role in it, differently.</t>
  </si>
  <si>
    <t>Public diplomacy in 21st century</t>
  </si>
  <si>
    <t>Megande Hounhouedo</t>
  </si>
  <si>
    <t>Mègandé Ashbelle Giscardine Radia Hounhouedo</t>
  </si>
  <si>
    <t>1goldendreamer1@gmail.com</t>
  </si>
  <si>
    <t>19 Robinson Ave, Ottawa, Canada</t>
  </si>
  <si>
    <t>Benin</t>
  </si>
  <si>
    <t>3435760222</t>
  </si>
  <si>
    <t>21PP07195</t>
  </si>
  <si>
    <t>8193198122</t>
  </si>
  <si>
    <t>https://www.linkedin.com/in/ashbelle-hounhouedo-megande/</t>
  </si>
  <si>
    <t>Ashbelle_new_passport.pdf</t>
  </si>
  <si>
    <t>_DSC7861.jpeg</t>
  </si>
  <si>
    <t>Bachelors Of Social Science</t>
  </si>
  <si>
    <t>International Economics and Globalisation</t>
  </si>
  <si>
    <t>University of Ottawa</t>
  </si>
  <si>
    <t>Canada</t>
  </si>
  <si>
    <t>https://sternaafrica.org/antenne.php?nom=C%C3%B4te+Ivoire</t>
  </si>
  <si>
    <t>I founded the Benin Students’ Association at the University of Ottawa (AEBSA) to support the academic, social, and professional integration of Beninese students while promoting cultural exchange and community engagement on campus. The organization aims to create a supportive network for students, celebrate Beninese culture, develop leadership skills, and foster connections between students from diverse backgrounds through educational, cultural, and community-focused initiatives.</t>
  </si>
  <si>
    <t>Leadership, Public Speaking, Project Management, Youth Engagement, Community Outreach, Cross-Cultural Communication, Stakeholder Engagement, Advocacy, Event Coordination, and Bilingual Communication (English/French).</t>
  </si>
  <si>
    <t>Megande_Ashbelle_Resume.pdf</t>
  </si>
  <si>
    <t>Yes. I believe meaningful change begins at the community level. Rather than waiting for change to happen, I have taken action through youth leadership, education, and community engagement. I founded the Benin Students’ Association at the University of Ottawa to create a support network for students and promote cultural understanding. I also coordinated community projects in Côte d’Ivoire, delivering workshops on education, health awareness, and youth empowerment to over 100 young people. More recently, I secured funding for a youth-led initiative promoting social inclusion and intercultural dialogue. These experiences have shown me that even small actions can create a lasting impact.</t>
  </si>
  <si>
    <t>I do not believe there is a single “most diplomatically significant” country in the world. Every nation, regardless of its size, economic strength, or political influence, plays a unique and important role in the international system. While some countries may possess greater military, economic, or diplomatic power, global challenges such as climate change, migration, public health, and peacebuilding require contributions from nations of all sizes. Diplomacy is most effective when every country has the opportunity to participate and have its voice heard. True international cooperation is built on mutual respect, inclusivity, and recognition that every nation contributes to our shared future.</t>
  </si>
  <si>
    <t>Youth play a vital role in diplomacy because they bring new perspectives, challenge existing assumptions, and help build bridges across cultures and communities. As future leaders, young people should not only be consulted on issues that affect them but actively involved in shaping solutions to local and global challenges.
I strongly relate to the concept of public diplomacy because I believe diplomacy is not limited to formal negotiations between governments. It is also about building understanding, trust, and cooperation between people from different backgrounds.
My experience with STERNA Africa in Côte d’Ivoire showed me the power of people-centered diplomacy. Working directly with children, adolescents, educators, and community leaders, I facilitated workshops on educational success, menstrual health, youth leadership, substance abuse prevention, and social inclusion. Through these initiatives, I learned how dialogue, education, and cultural understanding can empower individuals and strengthen communities. I also led a girls’ basketball empowerment program that used sport as a platform to promote confidence, leadership, and health awareness among young women.
In addition, as the Founder and President of the Benin Students’ Association at the University of Ottawa, I have promoted intercultural exchange and community engagement among students from diverse backgrounds.
These experiences have taught me that diplomacy begins with people, and that youth have the power to foster understanding, inclusion, and positive change at every level of society.</t>
  </si>
  <si>
    <t>Passion is the deep sense of purpose that motivates us to keep moving forward, even when challenges arise. It is more than enthusiasm; it is the commitment to invest time, energy, and effort into something we genuinely care about. Passion provides direction, resilience, and the determination needed to transform ideas into meaningful action.
In my own life, passion has been the driving force behind my involvement in youth empowerment, community development, and intercultural engagement. It motivated me to volunteer in Côte d’Ivoire, where I worked with young people on educational and health awareness initiatives, and it inspired me to create opportunities for cultural exchange and community building through student leadership. These experiences required dedication, adaptability, and perseverance, but my passion for creating positive impact kept me focused on my goals.
I believe passion is what turns aspirations into achievements. It helps individuals remain committed to their vision, overcome obstacles, and continue growing while making a meaningful contribution to their communities and the world.</t>
  </si>
  <si>
    <t>Yes, I consider myself a creative person. To me, creativity is not limited to art or design; it is the ability to find innovative ways to connect with people, communicate ideas, and solve problems. Throughout my community engagement work, I have learned that creativity is often essential for making important messages accessible, engaging, and impactful.
I have applied creativity in several ways, including designing educational workshops, producing videos for community awareness campaigns, organizing cultural events, and developing youth-centered activities that encourage participation and dialogue. During my work with STERNA Africa in Côte d’Ivoire, I helped facilitate workshops on topics such as educational success, menstrual health, substance abuse prevention, and youth empowerment. We used interactive discussions, games, sports, and storytelling to make complex topics relatable and engaging for young participants.
I believe creativity is a powerful tool in public diplomacy because it helps build connections across cultures and communities. An effective public diplomacy strategy should go beyond formal communication and create opportunities for people to engage, share experiences, and learn from one another. Through cultural exchange, storytelling, digital media, sports, and community initiatives, public diplomacy can foster mutual understanding and trust.
By combining creativity with empathy and communication, it is possible to inspire dialogue, strengthen relationships, and promote positive change across diverse communities.</t>
  </si>
  <si>
    <t>TikTok</t>
  </si>
  <si>
    <t>Shahram Jalal Gharib</t>
  </si>
  <si>
    <t>bossshahram165@gmail.com</t>
  </si>
  <si>
    <t>salim street, sulaymaniah, Iraq</t>
  </si>
  <si>
    <t>iraqi</t>
  </si>
  <si>
    <t>+9647701598570</t>
  </si>
  <si>
    <t>b08169232</t>
  </si>
  <si>
    <t>+9647722137231</t>
  </si>
  <si>
    <t>https://www.linkedin.com/in/shahram-jalal-607928377?utm_source=share&amp;utm_campaign=share_via&amp;utm_content=profile&amp;utm_medium=ios_app</t>
  </si>
  <si>
    <t>https://www.instagram.com/shahram_jalal_gharib?igsh=dzd2MTQ0eWhicDE1&amp;utm_source=qr</t>
  </si>
  <si>
    <t>https://www.facebook.com/share/1BdMXkP1KK/?mibextid=wwXIfr</t>
  </si>
  <si>
    <t>IMG-20250724-WA0002.jpg</t>
  </si>
  <si>
    <t>Bachelor of Law</t>
  </si>
  <si>
    <t>law</t>
  </si>
  <si>
    <t>University of Sulaimani</t>
  </si>
  <si>
    <t>iraq</t>
  </si>
  <si>
    <t>Yes. Through my legal studies and participation in the Saudi Commercial Arbitration Competition, I conducted research on legal frameworks, international legal principles, and case materials to support our legal analysis and argumentation.</t>
  </si>
  <si>
    <t>Kurdstan Students Organization(charitable organization)</t>
  </si>
  <si>
    <t>https://www.facebook.com/share/18ZeY1m2Yh/?mibextid=wwXIfr</t>
  </si>
  <si>
    <t>Volunteer teacher for orphan</t>
  </si>
  <si>
    <t>Six years</t>
  </si>
  <si>
    <t>Content creator, Law student, Teacher, Public speaker.</t>
  </si>
  <si>
    <t>SHAHRAM_CV.pdf</t>
  </si>
  <si>
    <t>Yes, but i strongly believe essential change starts in someone's own community before it reaches the world. As my own experience, i have contributed in educational and social activities, like being a volunteer teacher for orphaned children and participating in environmental campaigns. I also create contents on social media platforms about books, philosophy, human rights and public policy. my main goal is to help and encourage people especially youths in my society to feel and be more responsible for their community, and be educated on global issues. While these actions my seem small, but i believe fundamental change is achieved through consistent efforts.</t>
  </si>
  <si>
    <t>I consider turkey to be one of the most diplomatically significant countries in today's globalized world. Turkey's geographical location is a bridge between continents, which gives it a unique role in international relations. Turkey is a NATO member while also maintaining a strong relationship with the middle east and central asia and other powerful countries. Its home for settling international disputes, diverse regional and international conferences and diplomatic dialogues, it demonstrates how diplomacy can be applied and used to promote peace and stability.</t>
  </si>
  <si>
    <t>I think young people play a pivotal part in diplomacy especially nowadays, because right now communication is not a job solely for government and big organizations, a young person in their room can have a great influence on public opinion and promote ideas and build connections that cross borders through social media and technology. Youngs have the capacity to have effective impacts as a representative to their communities, to introduce their perspectives, cultures and to be an active voice for fostering human rights and justice.
I relate to the concept of public diplomacy because it focuses on communication between societies and different cultures rather than only between governments. Throughout my academic and volunteering activities, i have had the chance to meet different people from diverse backgrounds and cultures. when i participated in the Saudi commercial arbitration competition in saudi and the sixth international youth forum in turkey, i met many young individuals from different countries who had different perspectives, which happened to change my perspectives and made me aware of how different societies were functioning. 
I also contribute to public diplomacy through my work as a content creator. I make educational videos on books, philosophy, human rights, and public affairs, my purpose is to correct misconceptions, make complex concepts and  global issues simple to understand and introduce them to my community, that is my perception for what diplomacy is ultimately about.</t>
  </si>
  <si>
    <t>For me passion is the motivation that make you succeed, consistent and committed to your goals and purpose. Passion will encourage you to learn, improve yourself and enables you to continue when facing an obstacle or when you get to a failure.
My passion for law, politics, public affairs and social justice has influenced many aspects of my life. It keeps me motivated to those activities that I have participated in, like participating in international programs, creating educational content, being a university representative for environmental campaigns, being a volunteered teacher to orphans, it was passion that encouraged me to apply for this program too, without passion it would be difficult to maintain discipline to pursue long term goals.</t>
  </si>
  <si>
    <t>I consider myself a creative person because i am interested in finding new ways to communicate ideas and make complex subjects more accessible to others, i am also interested in learning new methods to execute my projects and be void of repetition. I think creativity is not limited to a specific topic, but rather it is a trait that a person has, i think being innovative is the core of creativity, you can be creative in education, communication, and problem solving, creativity doesn't mean complexity but rather it means simplicity and understandable and engaging. 
Through my content, I try to present complex ideas in a simple and engaging way. Topics such as human rights, philosophy, and public affairs can sometimes seem difficult to many people, especially young audiences. Being creative enables you to make important subjects more accessible and interesting to a wider audience. I believe the same principle applies to public diplomacy. Effective public diplomacy is not only about sharing information but also about building understanding between people from different cultures and backgrounds. In a world where social media has become a major source of information, creativity can help diplomatic messages reach wider audiences and create stronger connections between communities. Through innovative and engaging communication, public diplomacy can become more effective in promoting mutual understanding and international cooperation.</t>
  </si>
  <si>
    <t>instagram page</t>
  </si>
  <si>
    <t>Human Rights and International Law</t>
  </si>
  <si>
    <t>Bekzat Sattarkhanova 19, Taugul-3, Almaty</t>
  </si>
  <si>
    <t>+7 705 9838 999</t>
  </si>
  <si>
    <t>N11591045</t>
  </si>
  <si>
    <t>https://www.linkedin.com/in/aigerim-sarsembayeva-83bb5a3ab?utm_source=share_via&amp;utm_content=profile&amp;utm_medium=member_ios</t>
  </si>
  <si>
    <t>https://www.instagram.com/aichka.999?igsh=MzUwMHkwcWhzOWRm&amp;utm_source=qr</t>
  </si>
  <si>
    <t>Passport.PDF</t>
  </si>
  <si>
    <t>Spain_Madrid (1).jpeg</t>
  </si>
  <si>
    <t>Bachelor of Education in Foreign Language</t>
  </si>
  <si>
    <t>Two Foreign Languages</t>
  </si>
  <si>
    <t>Shymkent University, Shymkent, Kazakhstan</t>
  </si>
  <si>
    <t>"GENIUS" school</t>
  </si>
  <si>
    <t>https://www.instagram.com/geniusonline.kz?igsh=cTNzajRhNWdxZzN2</t>
  </si>
  <si>
    <t>In this role, I provided free tutoring to students who had been awarded special school program grants, helping them succed academically.</t>
  </si>
  <si>
    <t>2022-2025</t>
  </si>
  <si>
    <t>In my role, I teach students, an at the same, I am developing and implementing educational programs and methods for the school I have founded.</t>
  </si>
  <si>
    <t>Educational Leader, School Founder, with skills in communication, multilingualism, photography, social media marketing, targeted advertising, and event organization.</t>
  </si>
  <si>
    <t>Aigerim Sarsembayeva CV.pdf</t>
  </si>
  <si>
    <t>I have always believed that real change begins with education. As an educator and founder of Unique Bilim School, I took action by creating a learning environment that empowers children through language education, cognitive development, creative thinking, and cultural awareness. I teach English, mental arithmetic, and speed reading to help young learners build confidence, curiosity, and strong communication skills. I also mentor students individually and design innovative learning methods that encourage critical thinking and independent learning. Through education, I aim to inspire a new generation of open-minded, multilingual young people who respect diversity, connect cultures, and contribute positively to a more understanding and cooperative world.</t>
  </si>
  <si>
    <t>I believe that diplomatic significance today comes not only from individual countries but from systems that bring nations together to solve global challenges. Organizations like the United Nations, European Union, and NATO provide platforms for dialogue, cooperation, and mutual understanding. Within these systems, countries such as Germany, Finland, France, and Czech Republic, renowned for strong education systems and cultural openness, often act as leaders and mediators. I think true diplomatic influence comes from the ability to educate, connect, and inspire people across cultures, creating lasting understanding and collaboration.</t>
  </si>
  <si>
    <t>Youth have the power to shape the future of diplomacy by turning curiosity into action and learning into meaningful connections with others. For me, this is personal. As the founder of Unique Bilim School, I have created a space where children explore new languages in depth, practice mental arithmetic to build logical thinking and problem-solving, strengthen their reading and comprehension skills, and develop creativity and confidence in all areas of learning. By mentoring each student individually, I see how empathy, patience, collaboration, and curiosity grow when young people engage with different cultures and ideas firsthand.
I view Public Diplomacy as building genuine relationships rather than delivering formal statements. It is about connecting minds, fostering understanding, nurturing trust, and showing appreciation for differences. My participation in international conferences, cultural programs, and collaborative projects has taught me that youth can act as ambassadors without formal titles, inspiring communities to listen, learn, and work together. By nurturing thoughtful, confident, multilingual learners and creating engaging experiences in classrooms, workshops, and cultural exchanges, I aim to empower the next generation to bring diplomacy into everyday life. Small, intentional actions can ripple outward, shaping empathy, cooperation, and a more peaceful, interconnected world.</t>
  </si>
  <si>
    <t>Passion is the driving force that turns ideas into action and challenges into opportunities. For me, it is the desire to inspire and empower others through education and cultural exchange. My passion for teaching languages, mental arithmetic, and speed reading fuels every lesson I design and every student I mentor. It motivates me to create Unique Bilim School, where young learners can explore knowledge creatively, build confidence, and develop skills that prepare them for a global future. Passion keeps me persistent when facing obstacles, encouraging continuous learning and innovation in my teaching methods. It also connects me to broader goals, such as promoting intercultural understanding and preparing students to engage with diverse communities. By channeling my passion into meaningful action, I am able to achieve both personal and professional goals while making a positive impact on the next generation of learners and future leaders.</t>
  </si>
  <si>
    <t>I consider myself a creative person because creativity, for me, is a way of understanding the world and engaging with it thoughtfully. It allows me to notice hidden connections, imagine new possibilities, and take action to solve real challenges. Founding Unique Bilim School reflects this approach, as I design lessons in languages, mental arithmetic, speed reading, and cultural activities that help children build confidence, develop problem-solving skills, strengthen curiosity, and cultivate independent thinking. By mentoring students individually, I see them grow in empathy, resilience, communication, and collaboration, and learn to appreciate diverse perspectives.
Creativity becomes a powerful force in public diplomacy when it turns ideas into meaningful experiences. By creating educational programs, cultural workshops, and interactive learning opportunities, I help young people explore other cultures, practice respectful dialogue, and build trust and understanding. Diplomacy is not only the work of governments; it thrives when people connect, share knowledge, and collaborate across communities. For me, creativity is the bridge between thought and action, transforming education and cultural engagement into strategies that inspire cooperation, curiosity, and positive change around the world.</t>
  </si>
  <si>
    <t>it was sent to my e-mail, but before thriugh instagram.</t>
  </si>
  <si>
    <t>I am interested in several of these programs because they are interconnected, and they help a person become well-rounded in their development. For instance: International Public Service Relations, Arts, Culture and Soft Power, Strategy, Peace and Cultural Siplomacy.</t>
  </si>
  <si>
    <t>tanvirah3450@gmail.com</t>
  </si>
  <si>
    <t>SAINT PETERSBURG HIGHWAY 109 C15, 628B, St. Petersburg, Russian Federation</t>
  </si>
  <si>
    <t>BANGLADESHI</t>
  </si>
  <si>
    <t>+79890482240</t>
  </si>
  <si>
    <t>A09447221</t>
  </si>
  <si>
    <t>+8801771577072</t>
  </si>
  <si>
    <t>https://www.facebook.com/tanvir0997/</t>
  </si>
  <si>
    <t>T_passport (2).pdf</t>
  </si>
  <si>
    <t>BACHELOR</t>
  </si>
  <si>
    <t>INTERNATIONAL MANAGEMENT</t>
  </si>
  <si>
    <t>SAINT PETERSBURG STATE UNIVERSITY</t>
  </si>
  <si>
    <t>NO</t>
  </si>
  <si>
    <t>Tanvir's CV English .pdf</t>
  </si>
  <si>
    <t>Yes, changing the world has always inspired me. As a second-year International Management student at Saint Petersburg State University, I channel this ambition through academic dedication and active intellectual engagement. I participate in university discussions on global economic trends, collaborate with peers on cross-cultural projects, and consistently seek to understand how management and diplomacy intersect in shaping international systems. While my journey is still early, I approach every lecture, group project, and international interaction as an opportunity to build the competencies needed to create meaningful impact. I believe equipping myself with the right knowledge today is my most powerful act of change.</t>
  </si>
  <si>
    <t>From my perspective as an International Management student, the United States remains the most diplomatically significant country due to its unmatched global alliances, permanent UN Security Council membership, and economic influence. However, China's growing assertiveness through the Belt and Road Initiative is fundamentally reshaping global diplomacy. Studying international management has taught me that economic leverage and diplomatic power are deeply intertwined and no rivalry illustrates this better than the US-China dynamic. Their bilateral relationship dictates global trade, technological governance, and regional security. Understanding this relationship is essential for any young professional aspiring to contribute to international affairs.</t>
  </si>
  <si>
    <t>outh represent diplomacy's most dynamic force. We bring digital literacy, cultural openness, and an urgency shaped by the very challenges climate change, inequality, geopolitical instability that previous generations left unresolved. Young people today engage across borders naturally, through technology, education, and intercultural friendships, making us informal yet powerful diplomatic actors.
As a student of International Management at Saint Petersburg State University, I experience public diplomacy firsthand. Studying alongside peers from diverse backgrounds has taught me that genuine understanding between peoples is built through daily human interaction, not just governmental agreements. My academic environment situated in a historically rich, internationally significant city constantly reminds me that culture, history, and identity shape how nations relate to one another.
I relate deeply to Public Diplomacy because I believe in the power of people-to-people connection. My studies in international management have shown me how business, culture, and politics are inseparable in today's world. Every cross-cultural conversation I engage in, every international case study I analyze, strengthens my conviction that young people must actively participate in building mutual understanding. We are not waiting to inherit the diplomatic stage we are already on it.</t>
  </si>
  <si>
    <t>Passion is the quiet but relentless force that keeps you pursuing a purpose even when progress feels slow. It is not fleeting excitement it is a deep commitment rooted in genuine curiosity and personal vision. My passion lies at the intersection of international relations, management, and cultural diplomacy.
This passion directly fuels my academic journey at Saint Petersburg State University. It motivates me to go beyond required coursework, exploring how global management principles apply to diplomatic challenges. When university life becomes demanding, my passion for understanding the world's complexities keeps me focused and resilient. It helps me see every assignment, every international discussion, and every new perspective from a classmate as a stepping stone toward my larger goal becoming a professional who bridges cultures and contributes to constructive international dialogue. Passion, for me, is what turns a student into a future changemaker.</t>
  </si>
  <si>
    <t>Yes, I consider myself a creative thinker, particularly in how I approach complex international problems. Creativity for me is not limited to art it is the ability to connect ideas across disciplines and design solutions that are both innovative and culturally sensitive. My studies in International Management constantly challenge me to think creatively about global systems, strategies, and human behavior.
In public diplomacy, creativity is essential. Formal diplomatic channels alone cannot build genuine trust between peoples — that requires imagination. I would channel my creativity into designing people-centered diplomacy initiatives: cross-cultural storytelling projects, youth dialogue platforms, and digital campaigns that present nations through the lens of shared human values rather than political differences.
Drawing from my management education, I would also apply creative strategic thinking to diplomacy — treating cultural exchange like a well-designed campaign with clear goals, target audiences, and measurable impact. For instance, using student networks across universities to create peer-to-peer international dialogue programs could build grassroots diplomatic relationships far more authentically than top-down initiatives. Creativity, combined with strategic discipline from my academic background, is how I intend to make public diplomacy more inclusive, relatable, and genuinely effective.</t>
  </si>
  <si>
    <t>EMAIL</t>
  </si>
  <si>
    <t>Mohamed Salah Abd El Aziz</t>
  </si>
  <si>
    <t>M.salahmohamed21@gmail.com</t>
  </si>
  <si>
    <t>Abu Dhabi - Mbz, Abu Dhabi, United Arab Emirates</t>
  </si>
  <si>
    <t>Egyption</t>
  </si>
  <si>
    <t>+971505483474</t>
  </si>
  <si>
    <t>A31284726</t>
  </si>
  <si>
    <t>https://www.linkedin.com/in/muhumedsalah01/</t>
  </si>
  <si>
    <t>https://www.instagram.com/muhu_med/</t>
  </si>
  <si>
    <t>M.S Profile pic.jpeg</t>
  </si>
  <si>
    <t>Masters of Engineering</t>
  </si>
  <si>
    <t>Geotechnical Enginnering</t>
  </si>
  <si>
    <t>Cairo Univerisity</t>
  </si>
  <si>
    <t>Egypt</t>
  </si>
  <si>
    <t>MBA</t>
  </si>
  <si>
    <t>yea</t>
  </si>
  <si>
    <t>Resala</t>
  </si>
  <si>
    <t>https://resala.org/</t>
  </si>
  <si>
    <t>volunteer and marketing team</t>
  </si>
  <si>
    <t>Geotechnical Bussiness Development Engineer</t>
  </si>
  <si>
    <t>Engineering -  Sales - Marketing - Research</t>
  </si>
  <si>
    <t>Mohamed Salah,Geotechnical &amp; Business Development Engineer.pdf</t>
  </si>
  <si>
    <t>Yes, I believe changing the world begins with creating positive impact in the communities and environments we are part of. Throughout my academic and professional journey in engineering and business development, I have focused on delivering solutions that improve infrastructure, support sustainable development, and create value for people. I have contributed by sharing knowledge, mentoring colleagues, supporting teamwork, and promoting innovation in my workplace. I believe every individual can influence change through integrity, continuous learning, and responsibility. My goal is to combine technical expertise, leadership, and diplomacy to contribute to meaningful global progress.</t>
  </si>
  <si>
    <t>A diplomatically significant country is one that has the ability to influence global cooperation, stability, and dialogue. In my view, the United States holds significant diplomatic influence due to its global partnerships, economic strength, and role in international organizations. However, diplomacy is not only about power; countries such as the United Arab Emirates also demonstrate the importance of strategic diplomacy through mediation, humanitarian initiatives, economic partnerships, and cultural exchange. The most diplomatically significant countries are those that use their influence responsibly to promote peace, development, and collaboration among nations.</t>
  </si>
  <si>
    <t>Youth have a crucial role in shaping modern diplomacy because they represent the future leaders, innovators, and bridge-builders between cultures. In today’s interconnected world, diplomacy is no longer limited to governments; individuals, communities, and young professionals can influence international relations through communication, technology, entrepreneurship, and cultural exchange.
Public diplomacy focuses on building relationships between people and nations by promoting understanding, trust, and shared values. I strongly relate to this concept because my professional experience has exposed me to multicultural environments where collaboration between different nationalities is essential for success. Through my work in engineering and business development, I have learned that effective communication and respect for cultural differences are key to building strong partnerships.
Young people can contribute to public diplomacy by using digital platforms responsibly, sharing knowledge, participating in international programs, and creating initiatives that connect communities. I believe youth should not only observe global challenges but actively participate in solving them through innovation, dialogue, and cooperation.</t>
  </si>
  <si>
    <t>Passion is the inner motivation that drives individuals to pursue excellence, overcome challenges, and continuously improve. It gives purpose to our efforts and transforms ordinary tasks into meaningful achievements.
For me, passion represents curiosity, commitment, and the desire to create value. My passion for engineering, leadership, and continuous learning has helped me develop professionally and personally. It encouraged me to expand my knowledge beyond technical expertise into areas such as business strategy, management, and international cooperation.
Passion helps me achieve my goals by maintaining my motivation during difficult situations and inspiring me to seek innovative solutions. It pushes me to learn from experiences, build relationships, and contribute positively to my organization and society. I believe passionate individuals have the ability to inspire others and create lasting impact.</t>
  </si>
  <si>
    <t>Yes, I consider myself a creative person because I always look for innovative approaches to solve problems and create opportunities. Creativity is not only about artistic expression; it is also about finding new perspectives, connecting ideas, and developing practical solutions.
Through my experience in engineering and business development, I have learned to combine technical thinking with strategic communication. This mindset can contribute to effective public diplomacy strategies by creating initiatives that connect people, cultures, and institutions.
I believe creativity can support public diplomacy through digital storytelling, cultural exchange programs, educational initiatives, and platforms that highlight shared human values. By using technology and communication tools effectively, we can promote mutual understanding between different societies.
My approach would focus on transforming professional networks and cultural diversity into opportunities for collaboration. A successful public diplomacy strategy should not only communicate a country’s achievements but also listen, engage, and build trust with global communities. Creativity enables diplomacy to become more inclusive, human-centered, and impactful.</t>
  </si>
  <si>
    <t>Nguyen Thi Lam Ha</t>
  </si>
  <si>
    <t>9A Thanh Xuan Street, Thoi An District, Ho Chi Minh city, Vietnam</t>
  </si>
  <si>
    <t>+84 96 290 2435</t>
  </si>
  <si>
    <t>E03940292</t>
  </si>
  <si>
    <t>+84 83 976 3736</t>
  </si>
  <si>
    <t>Passport Lam Ha.pdf</t>
  </si>
  <si>
    <t>Snapseed.jpg</t>
  </si>
  <si>
    <t>Postgraduate</t>
  </si>
  <si>
    <t>University of Social Sciences and Humanities - Vietnam National University Ho Chi Minh City</t>
  </si>
  <si>
    <t>Yes, I am. I'm currently studying Sociology in Vietnam, and academic research is my primary focus during my studies. My research mainly focuses on marginalized communities in Vietnam such as prison inmates and street children.</t>
  </si>
  <si>
    <t>I have participated in numerous community organizations. This included self-organizing a project called "Finding Joy" - Đi Tìm Niềm Vui - Funded by artist Ninh Duong Lan Ngoc - where I personally planned and executed programs to build playgrounds based on cultural of local people and infrastructure for children across Vietnam. Additionally, I frequently participate in mangrove planting initiatives for The Green Happiness - Hạnh Phúc Xanh fund under Sống Foundation. In addition, I am a documentary filmmaker in Vietnam, collaborating with NGOs and NPOs both locally and globally. My films focus on environmental protection, wildlife conservation, flood relief assistance, and supporting ethnic minority communities. I have worked on behalf of prominent organizations such as WWF, Save Vietnam's Wildlife, Nhà Chống Lũ, and Oxfam Vietnam.</t>
  </si>
  <si>
    <t>https://thenomads.vn/</t>
  </si>
  <si>
    <t>Producer/ Project Manager</t>
  </si>
  <si>
    <t>over 10 years experience</t>
  </si>
  <si>
    <t>CEO/ Project Manager</t>
  </si>
  <si>
    <t>Yes, I have a small media company which support creative the documentary film in Vietnam.</t>
  </si>
  <si>
    <t>Cây Nhỏ Media Co., Ltd. | Tax Code: 0318258949
15/40/27 Street No. 59, An Hoi Tay Ward, Ho Chi Minh City, Vietnam. Website: https://caynho.media/.</t>
  </si>
  <si>
    <t>Writer, Creative Producer, Director, Project Manager, Content Consultancy</t>
  </si>
  <si>
    <t>CV_Lam Hà_2026 .pdf</t>
  </si>
  <si>
    <t>Growing up amidst domestic violence and limited education after my parent's divorce at age seven, I realized my father was also trapped by lack of emotional education in post- war Vietnam. Instead of resentment, this fueled my belief that holistic education-encompassing mental and physical health-is vital for better life. As a sociology student and filmmaker, I research how educational access and mental health impact juvenile inmates. My goal is to design cognitive education programs that heal past trauma, empowering marginalized youth to break the cycle and contribute meaningfully to society.</t>
  </si>
  <si>
    <t>I believe the diplomatic trend is shifting toward Asian nations, especially those deeply rooted in spirituality and inner healing. While economic superpowers dominate global headlines, I observe a growing migration and tourism trend from Western countries to Asia. People seek nations with high national security, profound faith, and unique spiritual cultures that foster soul-healing and self-reflection. In an anxious world, these countries offer a sanctuary to reclaim personal peace and cosmic energy. Ultimately, this spiritual stability becomes a vital diplomatic force, contributing to the ultimate peace of both individuals and humanity.</t>
  </si>
  <si>
    <t>My nation is currently undergoing a governance transition, powered by a massive youth force as Vietnam embraces its golden demography. This represents a monumental opportunity for young leaders like myself. As both a sociologist and a documentary filmmaker, I leverage the power of visual storytelling to connect people and project critical narratives far beyond domestic borders. I have already initiated this path by bringing "Where is the Shepherd Boy?", my documentary on Vietnamese climate change, to the 2025 CCCL Film Festival in Bangkok. Through film, I directly engage the younger generation- the future architects who will shape global awareness across culture, history, and science. This potential inspired me to transition from a filmmaker to a sociologist. Advancing my academic studies enhances my professional expertise, ensuring my research is both structurally sound and deeply impactful. I firmly believe that a compelling story creates a great film, and a great film has the transcendent power to touch and transform the entire world.</t>
  </si>
  <si>
    <t>To me, passion is the driving force that makes me wake up every day, eager to work without any pressure. I discovered my passion during 2019-COVID 19 pandemic. Witnessing immense daily loss during Vietnam's six-month lockdown made me realize how fragile life is, inspiring me to live purposefully. Analyzing my strengths, I found absolute joy in documentary filmmaking. My sharp intuition and observation skills allow me to capture raw human emotions, our relationship with nature, and the vulnerability of culture that risk vanishing without a storyteller. Traveling to neighboring countries further my deep concern and desire to preserve my own nation's culture heritage. Fueled by these goals, I create documentary projects to archive and screen these crucial stories globally. I believe films are not just art, but highly accurate historical archives that will enrich future sociological research.</t>
  </si>
  <si>
    <t>I am not only a creative individual but also a scientist, as evidenced by my current work. My creativity is deeply rooted in daily life and my firsthand experiences with the world through the lens of a sociologist. This dual identity ensures my projects remain highly practical, beautifully balancing artistic expression with empirical research data. By infusing rigid data with an artistic perspective, I strip away the dryness of raw information, making it accessible to a wider audience, including children, youth, and fellow scientists. I believe that when a piece of work sparks genuine curiosity and engagement, individuals are naturally driven to actively learn and investigate on their own.  This proactive exploration helps people internalize and remember knowledge far longer than they would by simply reading dense summaries, statistic, and numbers that are traditionally, this approach turns passive readers into active thinkers, bridge-building the gap between science and society.</t>
  </si>
  <si>
    <t>sevvalptekin75@gmail.com</t>
  </si>
  <si>
    <t>Ferahevler District, İnci Çiçeği St., No:26/2 34457 Sariyer, Istanbul, Türkiye</t>
  </si>
  <si>
    <t>+905338187076</t>
  </si>
  <si>
    <t>U39979718</t>
  </si>
  <si>
    <t>+905319870676</t>
  </si>
  <si>
    <t>https://www.linkedin.com/in/%C5%9Fevval-alptekin00/</t>
  </si>
  <si>
    <t>Şevval Alptekin_Passport.pdf</t>
  </si>
  <si>
    <t>DSC_0337.JPG</t>
  </si>
  <si>
    <t>Political Science and Public Admnistration</t>
  </si>
  <si>
    <t>Nişantaşı University</t>
  </si>
  <si>
    <t>Yes, it's YEE</t>
  </si>
  <si>
    <t>https://yeenet.eu</t>
  </si>
  <si>
    <t>Youth Scientific Advisory Board (YSAB) Member</t>
  </si>
  <si>
    <t>1 years</t>
  </si>
  <si>
    <t>Şevval Alptekin_CV.pdf</t>
  </si>
  <si>
    <t>Yes. I do not think changing the world always means doing something extraordinary. For me, it starts with contributing to the community around me. Through volunteering and youth initiatives, I have met people from different backgrounds, shared ideas, and encouraged participation in social issues. During my internships at local government institutions, I also gained a better understanding of how public service affects people's daily lives. These experiences motivated me to stay involved and keep learning. While my contributions may seem small, I believe that every effort to support dialogue, understanding, and active citizenship can create a positive impact.</t>
  </si>
  <si>
    <t>Diplomacy today is not shaped by a single country alone, but by several actors that influence global decisions in different ways. International organizations, regional blocs, and major powers all contribute to how global issues are discussed and managed. In this sense, the European Union stands out as a significant diplomatic actor because of its emphasis on multilateralism, regulation, and consensus-building among its member states. It plays an active role in areas such as climate policy, trade relations, and neighborhood diplomacy. At the same time, its approach shows that diplomacy is often about cooperation and negotiation rather than unilateral influence, especially in an interconnected world.</t>
  </si>
  <si>
    <t>Youth has an important role in diplomacy because they are directly connected to global issues and communicate across cultures more easily, especially through digital platforms and exchange programs. They often act as informal bridges between societies by sharing perspectives and reducing misunderstandings. I see public diplomacy as something that happens beyond official institutions. It is about how people and societies interact, understand each other, and build trust over time. My involvement in volunteering and international-oriented activities has shown me that even small interactions can matter. Listening to different views and engaging with people from other backgrounds has shaped how I understand communication between cultures.</t>
  </si>
  <si>
    <t>Passion is the feeling that makes me keep going even when things take time or become difficult. It is not only about interest, but about consistency and effort over the long term. For me, passion for international relations and diplomacy helps me stay focused on my goals. It encourages me to take part in volunteering, learn from different environments, and stay open to new experiences. When I face challenges, it helps me not lose direction and continue working step by step. Over time, I have realized that passion is what turns goals into something I genuinely invest in, not just plan.</t>
  </si>
  <si>
    <t>I would not describe creativity as something limited to art or design. For me, it is more about finding simple and effective ways to connect people and ideas. I try to approach situations with curiosity, especially when working with different cultures and perspectives. In public diplomacy, I think creativity helps make communication more natural and understandable. Instead of only formal messages, using storytelling, dialogue, or cultural exchange can make ideas easier to relate to. I believe it becomes a strategy when it helps people understand each other better, not just exchange information. From my experience in volunteering and international settings, I have seen that even small, open conversations can create stronger connections than formal communication alone.</t>
  </si>
  <si>
    <t>isatou.joof@wfp.org</t>
  </si>
  <si>
    <t>10 Ebou Jatta Street, Fajikunda Layout, Serrekunda East, Kanifing Municipality, Gambia</t>
  </si>
  <si>
    <t>Gambian</t>
  </si>
  <si>
    <t>+2203141063</t>
  </si>
  <si>
    <t>PC177460</t>
  </si>
  <si>
    <t>+2209811400</t>
  </si>
  <si>
    <t>https://www.linkedin.com/in/isatou-joof-80058179/</t>
  </si>
  <si>
    <t>Isatou Joof Jeng</t>
  </si>
  <si>
    <t>Passport Isatou Joof.pdf</t>
  </si>
  <si>
    <t>Isatou.jpg</t>
  </si>
  <si>
    <t>MSc</t>
  </si>
  <si>
    <t>International Relations and Diplomacy</t>
  </si>
  <si>
    <t>University of The Gambia</t>
  </si>
  <si>
    <t>The Gambia</t>
  </si>
  <si>
    <t>The Gambia Red Cross Society</t>
  </si>
  <si>
    <t>Senior Volunteer</t>
  </si>
  <si>
    <t>17</t>
  </si>
  <si>
    <t>Community feedback Mechanism (CFM) Manager, at United Nations World Food Program Gambia</t>
  </si>
  <si>
    <t>Project Management, community engagement, stakeholder coordination, teamwork, communication.</t>
  </si>
  <si>
    <t>CV Isatou Joof.pdf</t>
  </si>
  <si>
    <t>YES. I believe meaningful change begins with serving people and empowering communities. In my personal and professional journey, I have dedicated myself to supporting vulnerable populations through community engagement, volunteerism, and humanitarian initiatives. I actively advocate for inclusive participation, ensuring that people's voices are heard in decisions that affect their lives, through my work with communities affected by disasters, I have promoted awareness, preparedness, and sustainable solutions. While changing the world is a long journey, I strive to make a positive impact every day by fostering hope, resilience, and collaboration.</t>
  </si>
  <si>
    <t>In today's interconnected world, diplomatic significance is not determined solely by power but by the ability to build partnerships and influence global dialogue. I consider Turkey to be one of the most diplomatically significant countries because it serves as a bridge between east and West, connecting different cultures, regions, and perspectives. Its active role in mediation, humanitarian diplomacy, and international cooperation demonstrates the importance of dialogue in addressing global challenges. However, diplomacy is increasingly shared among many nations, and true global progress depends on cooperation, mutual respect, and collective action among countries rather than the influence of a single state.</t>
  </si>
  <si>
    <t>Youth are powerful agents of change and essential contributors to diplomacy in the twenty-first century. They bring innovation, energy, and fresh perspectives to global discussions while promoting understanding across cultures and communities. Through education, technology, social media, and community engagement, young people can influence public opinion, strengthen international cooperation, and advocate for solutions to global challenges. 
I strongly relate to the concept of public diplomacy because it focuses on connecting people, building trust, and promoting mutual understanding. Public diplomacy extends beyond governments; it involves citizens, communities, and young leaders acting as ambassadors of dialogue and cooperation. Growing up in The Gambia and working closely with diverse communities has taught me the value of listening, respect, and inclusive communication. My academic work on climate resilience and my experience in humanitarian and development initiatives have reinforced my belief that sustainable solutions emerge when people work together across cultures and borders. 
I see public diplomacy as an opportunity to amplify underrepresented voices, foster global solidarity, and create meaningful partnerships. As a young professional, I aspire to contribute to international dialogue and use diplomacy as a tool for peace, sustainable development, and positive social change.</t>
  </si>
  <si>
    <t>Passion is the inner drive that inspires individuals to pursue a purpose greater that themselves. It provides motivation, determination, and resilience, especially during difficult times. Passion transforms goals from simple ambitions into meaningful commitments. My passion lies in humanitarian service, community development, and creating opportunities for vulnerable populations. This passion motivated me to pursue higher education, engage in community initiatives, and contribute to efforts that improve people's wellbeing. It has taught me perseverance, continuous learning, and the importance of serving others. Passion helps me stay focused on my goals because it reminds me why I started what and what impact I hope to achieve. It encourages me to overcome challenges, seek innovative solutions, and remain committed to personal and professional growth. I believe that passion, when combines with knowledge, integrity, and hard work, becomes a powerful force for creating positive change in society.</t>
  </si>
  <si>
    <t>YES, I consider myself a creative person because I enjoy finding innovative ways to connect with people, solve problems, and communicate ideas. Creativity is essential in diplomacy because it helps bridge cultural differences and encourages meaningful engagement. To transform creativity into an effective public diplomacy strategy, I would focus on storytelling, cultural exchange, and digital engagement. Stories have the power to humanize global issues and create emotional connections between people from different backgrounds. By sharing powerful experiences and community success stories, diplomacy becomes more relatable and impactful. 
I would also use social media and digital platforms to promote intercultural dialogue, highlight diverse perspectives, and engage young people in discussions about global challenges. Cultural activities can further strengthen people-to-people connections and foster mutual understanding. An effective public diplomacy strategy should be inclusive, authentic, and people centered. By combining creativity with empathy and communication, it is possible to build trust, challenge stereotypes, and inspire collaboration. In an increasingly interconnected world, creative diplomacy can serve as a peaceful tool for promoting peace, understanding, and sustainable development.</t>
  </si>
  <si>
    <t>Scholarship portals</t>
  </si>
  <si>
    <t>Public Diplomacy, International Relations, and Humanitarian Diplomacy</t>
  </si>
  <si>
    <t>Patricia Arthur-Jim</t>
  </si>
  <si>
    <t>PATRICIA DOE ARTHUR-JIM</t>
  </si>
  <si>
    <t>purpletrish21@gmail.com</t>
  </si>
  <si>
    <t>H/No 4 Christian Village, KINGFISHER STREET, Kingfisher Street, Accra, Ghana</t>
  </si>
  <si>
    <t>+233557873118</t>
  </si>
  <si>
    <t>G4261553</t>
  </si>
  <si>
    <t>+233260745474</t>
  </si>
  <si>
    <t>www.linkedin.com/in/patricia-arthur-jim-030a53135</t>
  </si>
  <si>
    <t>https://www.instagram.com/ms.jarts?igsh=NDFoODBtZWwzcmc2</t>
  </si>
  <si>
    <t>https://www.facebook.com/share/1DmfbMyPfA/</t>
  </si>
  <si>
    <t>Passport Bio.pdf</t>
  </si>
  <si>
    <t>image.png</t>
  </si>
  <si>
    <t>Master of Arts</t>
  </si>
  <si>
    <t>Ghana Institute of Management and Public Administration</t>
  </si>
  <si>
    <t>Green Climate Health Network</t>
  </si>
  <si>
    <t>5</t>
  </si>
  <si>
    <t>Overseeing and running of day-to-day activities. Liaising with stakeholders</t>
  </si>
  <si>
    <t>Yes, The Jarts Foundation</t>
  </si>
  <si>
    <t>To empower individuals and communities through education, leadership development, and sustainable community impact, with a strong focus on youth empowerment, capacity building, and creating opportunities for long-term social and economic growth.</t>
  </si>
  <si>
    <t>Project Consultant</t>
  </si>
  <si>
    <t>Curriculum Vitae_Patricia Doe Arthur MPP 2026.pdf</t>
  </si>
  <si>
    <t>Yes. I have consistently believed that meaningful global change begins with intentional local action. In my personal capacity, I have contributed to youth and skills development through project coordination work on employment and capacity-building initiatives in Ghana. I also co-founded Naa AI, an education-focused platform designed to improve access to learning resources, and I lead community development efforts through The Jarts Foundation. In addition, I mentor young people in leadership and civic engagement. These experiences have shaped my commitment to empowering others with knowledge, opportunity, and practical tools to participate actively in their communities and broader society.</t>
  </si>
  <si>
    <t>A diplomatically significant country is one that shapes global decision-making not only through military or economic power, but through sustained influence in international institutions, mediation roles, and agenda-setting in global governance. In this regard, countries such as the United States, China, and members of the European Union hold major weight due to their economic scale, security roles, and institutional presence. However, diplomatically significant states also include middle powers like India, South Africa, and Indonesia, which actively contribute to multilateral diplomacy, regional stability, and South-South cooperation. Ultimately, diplomatic significance is defined by a country’s ability to influence global norms, broker consensus, and participate meaningfully in addressing transnational challenges such as climate change, security, and development.</t>
  </si>
  <si>
    <t>Youth play a critical role in diplomacy as both participants and shapers of global narratives in an increasingly interconnected world. While traditional diplomacy is state-led, public diplomacy relies heavily on people-to-people engagement, cultural exchange, and communication across borders. Young people contribute by serving as bridges between cultures, challenging stereotypes, and amplifying diverse perspectives through education, innovation, and digital platforms. In many cases, youth are also early adopters of technology, making them influential in shaping online discourse and global opinion.
I relate to the idea of public diplomacy as a practical extension of my work in education, youth development, and community engagement. Through my involvement in skills and employment programming in Ghana, I have seen how exposure and knowledge-sharing can reshape how young people perceive their role in society. As the co-founder of Naa AI, I also recognize the importance of accessible knowledge systems in empowering informed global citizens. Public diplomacy, to me, is not limited to governments; it is the continuous exchange of values, ideas, and understanding among individuals who, consciously or not, represent their communities on a global stage. I see myself as part of this process by fostering learning, dialogue, and leadership among young people.</t>
  </si>
  <si>
    <t>Passion is a deep sense of purpose and emotional drive toward something that gives meaning to one’s actions. It goes beyond interest or motivation; it is the inner force that sustains effort even when challenges arise or results are not immediate. Passion gives direction to goals by making them personally significant, rather than merely tasks to be completed.
Passion helps achieve goals by providing consistency, resilience, and focus. When difficulties appear, passion sustains commitment and prevents discouragement. It also enhances creativity and problem-solving, because individuals are more willing to explore new approaches when they genuinely care about the outcome. Additionally, passion builds discipline over time, as it aligns daily habits with long-term vision.
In my own experience, passion for education, youth empowerment, and policy-driven impact has guided my academic and professional journey. It has helped me remain committed to long-term projects in development and innovation, even when progress is gradual, by reminding me of the broader purpose behind the work.</t>
  </si>
  <si>
    <t>Yes, I consider myself a creative person, particularly in how I approach problem-solving, communication, and development work. Creativity, to me, is not limited to artistic expression but extends to the ability to connect ideas across disciplines, design innovative solutions, and communicate in ways that resonate with diverse audiences. My background in education, international relations, and social impact work has strengthened this ability by requiring me to adapt messages and strategies to different communities and contexts.
Creativity becomes an effective public diplomacy strategy when it is used to shape narratives, build understanding, and influence perceptions across borders. Public diplomacy is not only about formal state communication but also about storytelling, cultural expression, and digital engagement that foster mutual respect and collaboration. A creative approach allows for the use of platforms such as media, educational content, and technology to translate complex policy and cultural ideas into accessible and relatable messages.
In practice, I apply creativity through initiatives like educational technology development and youth engagement programs, where I focus on simplifying knowledge and making learning more engaging. By combining creativity with strategic communication, I aim to contribute to public diplomacy efforts that build bridges between communities, promote shared understanding, and encourage collaborative global solutions.</t>
  </si>
  <si>
    <t>Public Diplomacy in Contemporary Global Politics and Cultural Diplomacy and Global Influence</t>
  </si>
  <si>
    <t>SANAM ZAFAR</t>
  </si>
  <si>
    <t>sanamzafar01@yahoo.com</t>
  </si>
  <si>
    <t>HOUSE NO 29 STREET NO 03 SECTOR F DEFENCE HOUSING AUTHORITY PHASE 2 ISLAMABAD, ISLAMABAD, Pakistan</t>
  </si>
  <si>
    <t>PAKISTAN</t>
  </si>
  <si>
    <t>+923320984531</t>
  </si>
  <si>
    <t>CX5527292</t>
  </si>
  <si>
    <t>03356644997</t>
  </si>
  <si>
    <t>Passport (2).pdf</t>
  </si>
  <si>
    <t>PHOTO (1).png</t>
  </si>
  <si>
    <t>MASTERS</t>
  </si>
  <si>
    <t>MASTERS OF BUSINESS ADMINISTRATION (MBA)</t>
  </si>
  <si>
    <t>FINANCE</t>
  </si>
  <si>
    <t>FATIMA JINNAH WOMEN UNIVERSITY, RAWALPINDI</t>
  </si>
  <si>
    <t>ACTION AGAINST HUNGER PAKISTAN</t>
  </si>
  <si>
    <t>VOLUNTEER</t>
  </si>
  <si>
    <t>YOUTH MINDS</t>
  </si>
  <si>
    <t>The Youth Minds Organization was established with the main purpose of developing and mentoring young people and nurturing their talents by emphasizing Education, Leadership, Innovation and Community Service. We endeavor to nurture the physical, emotional and spiritual growth of youth through skill development, training, mentoring and volunteer work in order to develop competent, caring and resilient young leaders that give back to society and build sustainable development.</t>
  </si>
  <si>
    <t>DIGITAL PROFESSIONAL</t>
  </si>
  <si>
    <t>Sanam_Zafar_Resume.pdf</t>
  </si>
  <si>
    <t>Yes. And it’s something that I do believe, in many instances, small, concerted effort that, you know, not waiting for the big thing. But rather on how it can, how I can be able to aid, assist people within my circle, within my community. I have supported children to facilitate their education. I have facilitated my peers, to mentor them, or to help them in many ways. So you know, with my capacity as you mentioned, of how I’m able to contribute. I always try to give. I try to share knowledge with people in community. I always try to ensure responsible consumption of resources, collaboration as well. Therefore, it is an effort that starts from, as you’ve said, from the individuals, that you must, you have to serve. But I intend to grow these efforts by really leveraging the tools and talents that I have to be able to provide and offer to the community.</t>
  </si>
  <si>
    <t>A diplomatically important country is a country that has a key position and active role in ensuring the world peace, maintaining the international cooperation and contributing to the formulation of international policies. Countries like United States of America, China, Russia, United Kingdom, and France matter as a result of their economic capacity, political power and their contribution and activities in various international institutions. These countries are frequently active mediators in disputes and have considerable ability to negotiate with different nations over trades and provide global security and they actively participate in maintaining global cooperation and facilitate the developing process of world economies and many other things of the global world. But it can be not denied that military and economic powers are important factors for the country being diplomatic but more importantly countries can develop their power of dialogue and their relation to the others and this diplomatic power of a country makes it diplomatic by nature as it builds partnership and helps people solve the issues related to human well-being.</t>
  </si>
  <si>
    <t>The youth are integral to Diplomacy as they are able to bridge cultures between individuals from different backgrounds and nationalities and encourage the development of dialogues as well as contribute new viewpoints to world issues. Due to modern technologies and use of social media they are capable to break the barriers between borders to confront negative stereotypes, to encourage cultural dialogue and to nurture an appreciation for values, cultures and religions of other nations. By taking part in projects such as: the development of educational or cultural exchanges, activities focusing on environmental actions, innovativeness projects, volunteering, or peacekeeping initiatives, they can truly be cultural and diplomatic ambassadors. 
I personally find the ideas of Public diplomacy as one method for the public to be engaged in the process of international relations instead of depending solely on national government and decision maker to direct the international relation activities. Diplomacy is an activity intended to create a lasting relationship of friendship and trust between nations through a range of instruments that range from exchanging students to television broadcast that are used for promoting understanding and goodwill. 
Technology, as this new technological generation can greatly encourage the role of Youth as effective participants of Public diplomacy by using the social platforms as to share the knowledge to their peers and create global knowledge regarding global issue. Every time they meet with different individuals they have opportunity to increase world understanding. This can all be achieved if they maintain an open attitude, to respect others' individualities, values, cultures and religions and take part in various community and world projects in this case building world peace as youth are not the representatives of diplomacy but it already play the role in forming a harmonious and globalised world via Public Diplomacy.</t>
  </si>
  <si>
    <t>Passion means intense enthusiasm for something or great love. You dont simply enjoy something when you are a passionate person - rather you are deeply committed and you believe in its cause regardless of money or recognition. When a person is passionate, they receive tremendous energy and desire which helps the person tirelessly push forward through challenging situations and boring tasks. The role of passion enables you to execute and fulfill your goals in the best possible way. Passion enables you to be very persistent. Passion enables you to succeed as much as you desire, especially by not quitting when you face any hardship or when a challenge arises since the individual would feel more pressure to keep going. Therefore, passion provides us with the highest of discipline. Also, passion enables one to focus better. Passion leads an individual to concentrate on what they are enthusiastic about, by having a consistent and strong desire to acquire deep knowledge on the subjects. Additionally, a person who is driven by their passion for something will be motivated to be imaginative. Moreover, innovation andcreative problem solving is fostered when passion comes into the picture. All the passion we possess drives us to achieve a goal.</t>
  </si>
  <si>
    <t>I generate and recombine and transform ideas in ways that often seem innovative, I can now be leveraged to build an effective public diplomacy strategy for communication design, translation and strategy telling. I help government, organizations, and institutions to develop and translate messages across cultural and linguist barriers I understand target audiences and frame the messaging accordingly adapting tone for different regions. I am able to predict responses to the messaging as a simulation which allows for a better understanding for diplomacy in the way that communications can be refined before they are launched. 
Furthermore I can be used to facilitate soft power and create culturally specific narratives that highlight common ground, assist in analysing vast data and understanding the broader conversations being discussed and responded to with greater responsiveness. 
When used responsibly, I do not seek to replace the human role of the diplomat but to complement and extend our thinking by providing quick and comprehensive analysis of vast swathes of information and enabling quick response times and improved understanding across broad global audiences. Through AI support, communication will be more adaptable, informed by data and culture while at the same time be more efficient and forward thinking on a Global scale.</t>
  </si>
  <si>
    <t>Scholarships Portal</t>
  </si>
  <si>
    <t>Azizbek Akbarov</t>
  </si>
  <si>
    <t>AKBAROV AZIZBEK</t>
  </si>
  <si>
    <t>wooseok2701@gmail.com</t>
  </si>
  <si>
    <t>146, Baengnyeong-ro, Chuncheon-si, Gangwon-do, Chuncheon city, Korea, Republic of (South Korea)</t>
  </si>
  <si>
    <t>+821075698444</t>
  </si>
  <si>
    <t>FA9213756</t>
  </si>
  <si>
    <t>+821079985554</t>
  </si>
  <si>
    <t>aaa.o.c</t>
  </si>
  <si>
    <t>20240913160916.pdf</t>
  </si>
  <si>
    <t>AZIZBEK AKBAROV_Uzbekistan.JPG</t>
  </si>
  <si>
    <t>3rd year undergraduate</t>
  </si>
  <si>
    <t>Global Convergence</t>
  </si>
  <si>
    <t>Kangwon National University (KNU)</t>
  </si>
  <si>
    <t>Korea, the Republic of</t>
  </si>
  <si>
    <t>Yes, I have done it before</t>
  </si>
  <si>
    <t>Yes. The volunteer program I attended was called “2026 Kangwon Land Coal Transition Region Volunteer Program”</t>
  </si>
  <si>
    <t>https://high1.com</t>
  </si>
  <si>
    <t>I was selected as a leader of assigned one of six groups</t>
  </si>
  <si>
    <t>Less than a year in the field of volunteering</t>
  </si>
  <si>
    <t>Global Business Student with experience in education, volunteering, leadership, and cross-cultural collaboration.</t>
  </si>
  <si>
    <t>CV .pdf</t>
  </si>
  <si>
    <t>Yes. I believe meaningful change begins with small, consistent actions. As an international student in South Korea, I have volunteered in community projects, including a regional volunteer program supporting local communities affected by industrial transition. I have also taught English, helping students gain confidence and broaden their opportunities. Living abroad has shown me the importance of empathy, cultural understanding, and service. Beyond volunteering, I actively encourage others to take part in community initiatives and believe leadership is about inspiring action, not seeking recognition. My goal is to continue creating opportunities that empower people and contribute to stronger, more connected communities.</t>
  </si>
  <si>
    <t>I consider Switzerland one of the world’s most diplomatically significant countries because of its long-standing neutrality and its role as a global center for dialogue and international cooperation. It hosts numerous international organizations and provides a trusted platform for peace negotiations, humanitarian efforts, and multilateral diplomacy. Switzerland demonstrates that diplomacy is built not only on political influence but also on trust, impartiality, and collaboration. I believe its commitment to fostering dialogue and peaceful solutions makes it an inspiring example of how diplomacy can contribute to global stability and mutual understanding.</t>
  </si>
  <si>
    <t>Youth play a vital role in diplomacy because they bring fresh perspectives, adaptability, and the willingness to build connections beyond political or cultural differences. In today’s interconnected world, diplomacy is no longer limited to governments. Every meaningful conversation, cultural exchange, and collaborative project has the potential to strengthen mutual understanding.
As an international student in South Korea, I experience public diplomacy in my daily life. By studying, volunteering, and interacting with people from different countries, I have learned that representing my own culture also means respecting and learning from others. These experiences have taught me that trust is built through genuine relationships rather than formal negotiations alone.
To me, public diplomacy is about creating people-to-people connections that encourage cooperation, reduce misunderstandings, and inspire shared solutions to global challenges. I believe young people are uniquely positioned to lead these efforts because we are more connected than any previous generation and can use education, technology, and cultural exchange to bridge divides.
I hope to contribute by promoting intercultural dialogue, encouraging youth collaboration across borders, and using my experiences to inspire others to see diversity as a strength rather than a barrier.</t>
  </si>
  <si>
    <t>To me, passion is the inner drive that keeps a person moving forward, even when progress is slow or challenges seem overwhelming. It is not just excitement or motivation for a short period; it is the commitment to continue learning, improving, and contributing despite setbacks.
Passion has been the foundation of my personal and academic journey. Moving to South Korea as an international student required me to adapt to a new language, culture, and environment. Instead of seeing these challenges as obstacles, I viewed them as opportunities to grow. My passion for learning, serving others through volunteering, and building an international career has motivated me to stay disciplined and embrace every experience as a chance to develop.
I believe passion gives purpose to our actions. It transforms goals into meaningful missions, strengthens resilience during difficult times, and inspires us to create a positive impact on the people and communities around us.</t>
  </si>
  <si>
    <t>Yes, I consider myself a creative person because I enjoy finding practical ways to connect people, communicate ideas, and solve problems. To me, creativity is not only about art or design; it is about approaching challenges with curiosity and developing solutions that bring people together.
I believe creativity is one of the strongest tools in public diplomacy. A single story, cultural exchange, or community project can create understanding where stereotypes or misunderstandings once existed. As an international student in South Korea, I have experienced how meaningful conversations and shared experiences can build trust between people from different backgrounds. Through volunteering and engaging with diverse communities, I have learned that genuine human connections often have a greater impact than formal messages.
If given the opportunity, I would use creativity to promote public diplomacy by organizing youth-led cultural exchange activities, sharing authentic stories through digital platforms, and encouraging collaborative projects that celebrate diversity. These initiatives can make diplomacy more personal, accessible, and inclusive.
I believe effective public diplomacy begins with listening, understanding different perspectives, and creating opportunities for people to learn from one another. Creativity transforms those opportunities into lasting connections that inspire cooperation and mutual respect.</t>
  </si>
  <si>
    <t>Public Diplomacy in the 21st century</t>
  </si>
  <si>
    <t>ketrinpirs222@gmail.com</t>
  </si>
  <si>
    <t>rue de l’Ecole Moderne 27, 1070, Brussels, Belgium</t>
  </si>
  <si>
    <t>Ukrainian</t>
  </si>
  <si>
    <t>+32456717187</t>
  </si>
  <si>
    <t>GE377825</t>
  </si>
  <si>
    <t>+380503521688</t>
  </si>
  <si>
    <t>https://www.linkedin.com/in/mariia-lemza-90ba74355?utm_source=share_via&amp;utm_content=profile&amp;utm_medium=member_ios</t>
  </si>
  <si>
    <t>Photo.pdf</t>
  </si>
  <si>
    <t>Business Administration</t>
  </si>
  <si>
    <t>KU Leuven</t>
  </si>
  <si>
    <t>Belgium</t>
  </si>
  <si>
    <t>Universidad de Chile</t>
  </si>
  <si>
    <t>ISCEB Brussels</t>
  </si>
  <si>
    <t>https://www.instagram.com/isceb.brussels?igsh=bzV6cXJqM3Nmbmli</t>
  </si>
  <si>
    <t>Student representative</t>
  </si>
  <si>
    <t>International communication, event management, negotiation skills, photography, marketing</t>
  </si>
  <si>
    <t>Mariia Lemzas CV.pdf</t>
  </si>
  <si>
    <t>Yes, as a student representative in ISCEB, I promoted equality among students of KU Leuven and pushed for better policies that gave us a real voice in decisions made by our faculty. Moreover, when the war in Ukraine began, I organized fundraising campaigns at my school to support the most affected people and our soldiers who are bravely fighting for our freedom, mobilizing my friends and schoolmates to contribute into humanitarian efforts. Both of these experiences have taught me that change starts locally and that it is always better to take responsibility within your own community than to wait for someone else to act.</t>
  </si>
  <si>
    <t>I believe Ukraine is currently the most diplomatically significant country in the world. The war in my homecountry has reshaped alliances, forced the EU to redefine its identity and tested NATO's unity in real time. Ukraine sits at the center of negotiations over energy security and global grain supply, for instance, which directly affects food security in Africa and the Middle East. Beyond geopolitics, it is also Ukrainians who make Ukraine so significant - millions of us who kept working and rebuilding their lives while the world debated our fate in rooms far away from the war-zone. For me, this is not just an observation, it is something personal. The path of my country: whether toward EU or a negotiated settlement with Russia will, in my opinion, define the international order for decades.</t>
  </si>
  <si>
    <t>I believe that youth's role in diplomacy is to act as a bridge between formal institutions and real people. Governments negotiate treaties, but we shape how those relationships are actually lived through cultural exchange and cross-border friendships that will outlast any single government. The younger generation has grown up in a completely different environment, where people do not have to stay close to have a sense of community. We are able to connect with each other from different parts of the world and still find similarities, because the distance is no longer a threat. Youth brings authenticity that official channels often lack, because we are advocating for the world we will eventually inherit, not just dealing with the «existing» one. 
 I relate closely to Public Diplomacy because my own life has been built across borders. I grew up engaging with the Ukrainian, Russian, Spanish, French and English-speaking communities, and I am currently based in Brussels - the capital of European diplomacy, while preparing to study Cross-Cultural Communication for my Master's. When the war in Ukraine began, my fundraising work was not an official diplomacy, but it was a form of it: me and other teens trying to keep the community together. That, to me, is diplomacy in its purest form: people from diverse backgrounds with different values, connecting to each other and closing the distance between nations.</t>
  </si>
  <si>
    <t>For me passion is the force that keeps me moving when discipline alone is not enough anymore. In my opinion, it can also be defined as the difference between doing something because you have to and doing it because you cannot imagine your life without it. For me, personally, passion shows up in a curiosity for the world beyond familiar borders: the same curiosity that made me go for an exchange semester in Chile last year, putting myself in a completely different cultural environment. After this particular experience, I clearly understood that travel is not just a movement for me, but rather a way of personal growth. I am fascinated by learning new cultures, observing the behaviors of different nations and finding a way to connect with them on a deeper level. That is what passion does, in my opinion: it turns curiosity into direction, and eventually direction into purpose.</t>
  </si>
  <si>
    <t>Since early childhood, I have really enjoyed being creative. Drawing, writing stories, poems, or even mini-books always seemed to me like the best way to spend my free time. When I grew older, learning languages and planning travels to different countries became other things that captivated me deeply. However, creativity is not only about activities, but it is also a way of life. The traditional way of doing things is often not efficient, especially in diplomacy, since you should be able to rapidly change your approaches in different environments. This is the skill I believe I also possess. I try to find an alternative, more interesting, and unconventional approach and tailor it to the exact situation. Moreover, I never take the simple and traditional path if there is an option to do something “my way.” 
In my opinion, this is exactly the approach that modern public diplomacy requires. People all over the world are tired of artificial, bureaucratic statements and texts that evoke no emotions other than boredom. Modern public diplomacy requires creativity, and I am confident that I am the person capable of bringing unconventional and unusual approaches to this field and making it more understandable and resonant with a global audience.</t>
  </si>
  <si>
    <t>Telegram channel</t>
  </si>
  <si>
    <t>Asherrizah Merlyen E. Celindro</t>
  </si>
  <si>
    <t>asherrizah2003@gmail.com</t>
  </si>
  <si>
    <t>B9 L2, Dama de Noche St., Ferrer Compound, Bagbag II, Rosario, Cavite, 4106, Philippines</t>
  </si>
  <si>
    <t>+639214000809</t>
  </si>
  <si>
    <t>P2674626C</t>
  </si>
  <si>
    <t>+639284332866</t>
  </si>
  <si>
    <t>@asherrizah | @rrindip</t>
  </si>
  <si>
    <t>IMG_1942.jpeg</t>
  </si>
  <si>
    <t>IMG_8146.jpeg</t>
  </si>
  <si>
    <t>BS Professional Studies</t>
  </si>
  <si>
    <t>Business &amp; Leadership</t>
  </si>
  <si>
    <t>Brigham Young University - Idaho</t>
  </si>
  <si>
    <t>Philippines Area Communication and Publishing Department</t>
  </si>
  <si>
    <t>https://news-ph.churchofjesuschrist.org/</t>
  </si>
  <si>
    <t>Communication Specialist</t>
  </si>
  <si>
    <t>Writing</t>
  </si>
  <si>
    <t>ACelindro CV.pdf</t>
  </si>
  <si>
    <t>Yes. I have often thought about changing the world, but I realized that meaningful change begins with changing my own world first. For the past two years, I have served on the organizing team of international forums on law and religion, where I witnessed leaders from diverse faiths engage in respectful dialogue despite their differences. Their example reshaped my understanding of diplomacy and the importance of mutual respect. Inspired by these experiences, I strive to promote understanding through meaningful dialogue. I believe lasting change begins with individuals who choose empathy, collaboration, and service to the common good.</t>
  </si>
  <si>
    <t>I believe Switzerland is one of the world's most diplomatically significant countries. Its longstanding neutrality and commitment to dialogue have made it a trusted venue for peace negotiations and international cooperation. To me, diplomatic significance is measured not by military or economic power alone, but by a nation's ability to build trust, facilitate dialogue, and unite countries with diverse interests. Effective diplomacy promotes peace, resolves disputes, and encourages collaboration on global challenges while respecting every nation's sovereignty. In an increasingly interconnected world, countries that foster understanding and cooperation leave a lasting impact on international stability and the common good.</t>
  </si>
  <si>
    <t>Youth play a vital role in diplomacy because they bring fresh perspectives, openness to dialogue, and the willingness to build bridges across cultures. While they may not hold official diplomatic positions, young people can influence international understanding through meaningful conversations, cultural exchange, volunteerism, and responsible communication. In many ways, diplomacy begins with how we treat people whose beliefs, backgrounds, and experiences differ from our own. I relate deeply to the idea of public diplomacy because I have witnessed its impact firsthand. As I attended international forums on law and religion (as a staff), I observed individuals from different faiths engage in respectful dialogue despite their differences. Those experiences taught me that diplomacy is not merely about negotiating policies—it is also about cultivating trust, empathy, and mutual respect. Although I am only beginning my journey, I believe youth have the responsibility to represent their communities with integrity and an open mind. By listening before speaking and seeking understanding before judgment, we can strengthen relationships between people and contribute to a more peaceful and cooperative world.</t>
  </si>
  <si>
    <t>Passion is more than enthusiasm or discipline—it is the genuine desire to pursue something with purpose and commitment. While discipline helps me remain consistent, passion gives meaning to the effort I invest every day. When I set goals, I make sure they reflect what I truly value rather than what others expect of me. That personal conviction allows me to stay focused even when the journey becomes challenging or uncertain. My passion for diplomacy and meaningful dialogue motivates me to seek opportunities where I can learn, serve, and grow. It reminds me that achieving a goal is not simply about reaching an end, but about becoming the kind of person who can make a positive difference along the way. For me, passion transforms ambition into purposeful action and gives me the resilience to keep moving forward.</t>
  </si>
  <si>
    <t>Yes, I believe I am a creative person—not only in expressing ideas, but in finding ways to connect people and resolve misunderstandings. I have often found myself in the middle of disagreements between friends, listening to both sides without taking sides. By understanding each person's perspective, I try to help them communicate more effectively and find common ground. These experiences taught me that creativity is not limited to art or innovation; it also lies in approaching conflicts with empathy, open-mindedness, and thoughtful solutions. I believe these qualities are essential in diplomacy. They have strengthened my communication and listening skills and inspired me to pursue a path where I can help bridge differences among people from diverse backgrounds. An effective public diplomacy strategy begins with respect. A person representing a nation should be willing to listen, appreciate different beliefs and cultures, and engage in sincere dialogue. When people feel heard and valued, trust grows, misunderstandings decrease, and meaningful relationships are built. In this way, creativity becomes a tool for fostering mutual understanding and strengthening connections between nations.</t>
  </si>
  <si>
    <t>ILBOUDO Dieudonne</t>
  </si>
  <si>
    <t>ilboudodieudonne@dgadibf.com</t>
  </si>
  <si>
    <t>Bonheurville, sector 31, Ouagadougou, Burkina Faso</t>
  </si>
  <si>
    <t>Burkinabe</t>
  </si>
  <si>
    <t>+22673421475</t>
  </si>
  <si>
    <t>A3241162</t>
  </si>
  <si>
    <t>+22667625833</t>
  </si>
  <si>
    <t>www.linkedin.com/in/dieudonné-ilboudo01</t>
  </si>
  <si>
    <t>https://www.facebook.com/share/14gsZg4GXHB/?mibextid=wwXIfr</t>
  </si>
  <si>
    <t>Picture.png</t>
  </si>
  <si>
    <t>Bachelor of Technology</t>
  </si>
  <si>
    <t>Water Resource Management</t>
  </si>
  <si>
    <t>University Catholic Saint Jospeh</t>
  </si>
  <si>
    <t>Burkina Faso</t>
  </si>
  <si>
    <t>IHE DELFT Institute for Water Education, University of Lucerne</t>
  </si>
  <si>
    <t>UNCCD Community of Learning and Practice</t>
  </si>
  <si>
    <t>https://droughtclp.unccd.int/co-chairs</t>
  </si>
  <si>
    <t>Co-chair</t>
  </si>
  <si>
    <t>Webinar organization, events managements, knowledge exchange, partnerships building</t>
  </si>
  <si>
    <t>Alliance for Climate Innovation and Ecological Action</t>
  </si>
  <si>
    <t>Engineer, speaker, event manager, leadership, peace maker, conflict resolution</t>
  </si>
  <si>
    <t>Yes, I have always believed that changing the world begins with promoting peace and resolving conflicts at the local level. During my time at the Cascades Water Agency, I contributed to resolving conflicts among water users along the Comoé River, involving farmers, livestock herders, and fishermen. Through dialogue, consultation, and mediation, I helped encourage cooperation and sustainable management of shared water resources. This experience strengthened my conviction that peaceful coexistence, inclusive governance, and equitable access to natural resources are essential foundations for building a more peaceful and resilient world.</t>
  </si>
  <si>
    <t>I consider China one of the most diplomatically significant countries in the world due to its growing influence in global affairs, international cooperation, and economic development. Through initiatives such as infrastructure partnerships, South-South cooperation, and its active role in multilateral organizations, China has become an important actor in shaping global relations. Its diplomatic engagement with developing countries, including those in Africa, contributes to discussions on development, technology transfer, climate action, and economic partnerships. Understanding China's diplomatic approach is essential for young leaders seeking to promote international dialogue, cooperation, and shared solutions to global challenges.</t>
  </si>
  <si>
    <t>Youth plays a crucial role in diplomacy by bringing fresh perspectives, innovation, cultural understanding, and new approaches to addressing global challenges. In Africa, and particularly in Burkina Faso, young people represent a significant part of the population and have the potential to become powerful actors in promoting peace, sustainable development, and international cooperation. Through digital platforms, social initiatives, research, and community engagement, African youth can share their realities, promote their cultures, and build bridges between communities and nations.
I relate strongly to the concept of Public Diplomacy because it recognizes that international relations are not only shaped by governments but also by citizens, communities, and young leaders. My experience in water and environmental governance has shown me the importance of dialogue and collaboration among different stakeholders. For example, while working with the Cascades Water Agency, I contributed to resolving conflicts between farmers, livestock herders, and fishermen around the Comoé River through inclusive dialogue.
For me, public diplomacy is about creating mutual understanding, strengthening trust, and using local experiences to contribute to global solutions. Youth can transform challenges into opportunities by becoming ambassadors of peace, cooperation, and sustainable development.</t>
  </si>
  <si>
    <t>Passion is that deep commitment and inner motivation that drives a person to pursue a meaningful goal with dedication, perseverance, and determination. It gives meaning to our actions and helps us overcome obstacles, even when the path is difficult.
My passion lies in promoting sustainable development, protecting the environment, and fostering peaceful cooperation among communities. This passion has guided my professional journey in water and environmental management in Burkina Faso. It has encouraged me to seek innovative solutions, engage in dialogue with diverse stakeholders, and contribute to resolving conflicts related to natural resources.
Passion enables me to achieve my goals by giving me the energy to learn, adapt, and remain committed to creating positive change. It also inspires me to collaborate with others and transform ideas into concrete actions that benefit communities. I believe that passionate young leaders can make a significant contribution to building a more peaceful, sustainable, and inclusive world.</t>
  </si>
  <si>
    <t>Yes, I consider myself a creative person because I always seek innovative approaches to address complex challenges and transform ideas into practical solutions. My creativity has been recognized through my participation in international innovation initiatives. I was a finalist of the UNFCCC Technology Executive Committee (TEC) AI Innovation Grand Challenge 2024, a finalist of the World Water Challenge 2024, and a winner of the UNCCD Community Learning Platform on Drought Management: Investing in Drought Resilience in 2025.
I believe creativity is a powerful tool for effective public diplomacy because it helps communicate ideas, build connections, and create shared solutions among diverse communities. By combining innovation, technology, and local knowledge, creative approaches can strengthen dialogue between countries and promote mutual understanding.
In my work on water, climate resilience, and environmental governance in Burkina Faso, I use creativity to develop solutions that respond to real community needs while connecting local challenges with global agendas. Through storytelling, digital tools, knowledge sharing, and collaborative platforms, creative public diplomacy can inspire cooperation, enhance trust, and mobilize young people as active contributors to global challenges such as climate change, water security, and peacebuilding.</t>
  </si>
  <si>
    <t>Social media</t>
  </si>
  <si>
    <t>danielshalangwa@yahoo.com</t>
  </si>
  <si>
    <t>omar bongo close off maitama sule street, abuja, Nigeria</t>
  </si>
  <si>
    <t>+2349061388605</t>
  </si>
  <si>
    <t>B00872834</t>
  </si>
  <si>
    <t>08038678711</t>
  </si>
  <si>
    <t>dm_shalangwa</t>
  </si>
  <si>
    <t>daniel shalangwa</t>
  </si>
  <si>
    <t>DANIEL'S SCANNED PASSPORT.pdf</t>
  </si>
  <si>
    <t>Global Diplomacy</t>
  </si>
  <si>
    <t>Ahmadu Bello University Zaria</t>
  </si>
  <si>
    <t>African Society Of International Studies</t>
  </si>
  <si>
    <t>Secretary General</t>
  </si>
  <si>
    <t>management</t>
  </si>
  <si>
    <t>Daniel's Curriculum Vitae.pdf</t>
  </si>
  <si>
    <t>Yes, I believe changing the world begins with localized, impactful leadership. During my university studies, I served as the Secretary General for the African Society of International Studies. In this capacity, I took personal initiative to bridge the gap between theoretical diplomacy and practical action by organizing academic forums and peer-mentorship workshops. By creating spaces for youth to analyze global affairs, I empowered my peers to see themselves as active global citizens. Real impact lies in building institutional platforms that foster the next generation of diplomatic minds, one community at a time.</t>
  </si>
  <si>
    <t>Indonesia is uniquely significant in contemporary global diplomacy. As the birthplace of the historic 1955 Bandung Conference, it pioneered the Non-Aligned Movement, establishing a legacy of independent and active foreign policy. Today, bridging the Global South and the West, Indonesia stands as a vital diplomatic linchpin within ASEAN and the G20. Its commitment to multilateralism, climate diplomacy, and economic cooperation makes it a crucial mediator in regional stability.</t>
  </si>
  <si>
    <t>Youth are no longer just future beneficiaries of diplomacy; they are its contemporary drivers. In an interconnected digital era, young people possess the agility, technological fluency, and shared global consciousness required to transcend traditional state-to-state barriers. The youth's role is to democratize international relations by injecting fresh, collaborative perspectives into complex global challenges.
I deeply relate to the idea of Public Diplomacy, as it shifts the focus from rigid state protocols to people-to-people engagement. My background in International Studies and my leadership experience as a departmental Secretary General have shown me that authentic cultural exchange, civil society dialogue, and digital storytelling are incredibly potent tools for building mutual trust. To me, public diplomacy is about humanizing international relations. By engaging directly with cross-border networks and participating in international forums like YPDS, I aim to cultivate collaborative dialogues that counter misinformation. Youth-led public diplomacy turns global policy into grassroots progress, ensuring that international cooperation remains inclusive, visible, and deeply rooted in shared human values.</t>
  </si>
  <si>
    <t>Passion is an enduring, inner drive fueled by a clear sense of purpose. It is the motivation that transforms abstract career aspirations into sustained, meaningful action, keeping one resilient when faced with complex challenges or institutional setbacks. In my journey, passion manifests as a profound commitment to understanding global governance and advocating for international cooperation.
This drive is central to achieving my goals. It motivated me to excel in my undergraduate degree and take on demanding leadership roles where I could actively empower others. Passion keeps me adaptable, continually pushing me to expand my professional skillset through internships, research, and community engagement. By aligning this intrinsic energy with structured milestones, passion keeps me focused and constantly searching for innovative ways to contribute to global diplomacy.</t>
  </si>
  <si>
    <t>Yes, I am a creative person. In international relations, creativity means finding fresh, innovative ways to bring people together and help them understand different cultures.
To turn my creativity into an effective public diplomacy strategy, I rely on digital storytelling and social media. Traditional diplomacy often happens behind closed doors, but public diplomacy is all about building real connections between everyday citizens. By creating engaging short videos, managing interactive online campaigns, and designing relatable digital content, I can break down complex international issues into stories that resonate with young people globally.
A great creative strategy also uses data to understand what the audience cares about. By combining creative media with insights into digital trends, I can make sure the message actually reaches people and makes an impact. This approach changes people from passive viewers into active participants, helping to build cross-cultural trust, stop misinformation, and create real friendships across borders.</t>
  </si>
  <si>
    <t>vothana horng</t>
  </si>
  <si>
    <t>Nimhor@gmail.com</t>
  </si>
  <si>
    <t>HV75+43R, Phnom Penh, Cambodia</t>
  </si>
  <si>
    <t>Cambodia</t>
  </si>
  <si>
    <t>+855885170058</t>
  </si>
  <si>
    <t>N02518214</t>
  </si>
  <si>
    <t>+85517425365</t>
  </si>
  <si>
    <t>www.linkedin.com/in/vothana-horng-669639323</t>
  </si>
  <si>
    <t>https://www.instagram.com/isthatooobvious?igsh=ZWc5cDU5dGl0M3Bs&amp;utm_source=qr</t>
  </si>
  <si>
    <t>https://www.facebook.com/share/17iwCNTwhb/?mibextid=wwXIfr</t>
  </si>
  <si>
    <t>IMG_8239.JPG</t>
  </si>
  <si>
    <t>photo_2025-03-27_09-06-26.jpg</t>
  </si>
  <si>
    <t>Bechelor</t>
  </si>
  <si>
    <t>Bachelor of Arts (BA)</t>
  </si>
  <si>
    <t>University of Cambodia</t>
  </si>
  <si>
    <t>National University of Singapore</t>
  </si>
  <si>
    <t>Yes (Global Peace Foundation Cambodia, and JCI Neak Poan)</t>
  </si>
  <si>
    <t>https://jcicambodia.cc/home?fbclid=IwY2xjawS4FGRleHRuA2FlbQIxMABicmlkETFxdk80TzNLaGMwM1NzZHl4c3J0YwZhcHBfaWQQMjIyMDM5MTc4ODIwMDg5MgABHjedrfVp6QTEY-ADNEZYxkG-ddQnR-4zl06qon3lVVnTBLRCJyLHYJuK-</t>
  </si>
  <si>
    <t>Moderator and Registration Team, and Graphic Design &amp; Public Relations (Mental Health Project, 2025)</t>
  </si>
  <si>
    <t>2023 and 2025</t>
  </si>
  <si>
    <t>Newsletter Writer in International Relation field (Part time job)</t>
  </si>
  <si>
    <t>Writer, Researcher, Communication, and Management</t>
  </si>
  <si>
    <t>Horng Vothana’s CV  (2).pdf</t>
  </si>
  <si>
    <t>Yes, I have always believed in the power of small actions to create meaningful change. I volunteered with local community projects focused on education and environmental awareness, helping organize workshops and campaigns to promote sustainability. Additionally, I actively participate in youth forums where I advocate for social justice and inclusive growth. These experiences have strengthened my commitment to contributing positively to society. I understand that change starts with individual efforts, and I strive to lead by example, inspiring others to take action and create a ripple effect of positive impact within their communities.</t>
  </si>
  <si>
    <t>In my opinion, I believe China is one of the most diplomatically significant countries in the world today. As a global economic powerhouse and a permanent member of the UN Security Council, China plays a crucial role in shaping international relations, trade policies, and regional security. Currently, its Belt and Road Initiative has reconnected countries across Asia, Africa, and Europe, reshaping global infrastructure and economic partnerships. For Cambodia, China has become an essential strategic partner in development and investment till now.  I believe China's growing role in world affairs makes it essential for us to understand its policies and approach. As a student of International Relations, I find China's diplomatic strategies fascinating because they affect Southeast Asia directly.</t>
  </si>
  <si>
    <t>In today's interconnected world, young people bring fresh perspectives, digital literacy, and innovative approaches to international relations that older generations may overlook. We are like a bridge, fluent in cross-cultural communication and passionate about issues like climate change, sustainable development, and social justice. For me, youth diplomacy means engaging directly with peers from different countries, challenging stereotypes, and fostering mutual understanding through exchanges and dialogue.
Furthermore, public diplomacy is about connecting with people rather than just governments. It involves sharing stories, cultural values, and shared aspirations to build trust between nations. As a student of International Relations, I have already engaged in public diplomacy through my participation in the fully funded student conference at the National University of Singapore, where I exchanged ideas with young leaders from across Asia about sustainability and regenerative development. I also joined the Phnom Penh Strategic Dialogue organized by CICP, which deepened my understanding of ASEAN's role in regional order.
Young people are uniquely positioned to practice public diplomacy through social media, cultural exchange, and grassroots initiatives. We can humanize international relations by showing that diplomacy is not just about treaties and negotiations, but about people understanding each other. I believe that by actively participating in conferences, workshops, and collaborative projects, I am already contributing to this people-centered approach to diplomacy.</t>
  </si>
  <si>
    <t>Passion is the strong interest and excitement a person has for something they truly care about. It gives us the energy to keep working, even when things become difficult. I believe passion helps people stay focused and never give up on their dreams.
For me, passion means always being willing to learn, improve, and take on new challenges. When I am passionate about a goal, I enjoy the process of reaching it instead of only thinking about the final result. It also gives me confidence to step out of my comfort zone and try new opportunities.
I believe that success comes from both hard work and passion. And passion keeps me motivated, helps me learn from my mistakes, and reminds me why I started. It encourages me to keep moving forward and become a better person while working toward my personal and professional goals.</t>
  </si>
  <si>
    <t>Yes, I believe I am a creative person. I enjoy thinking of new ideas and finding simple ways to solve problems. I also like working with people from different backgrounds and learning about their cultures and traditions.
I think creativity is very useful in public diplomacy because it helps people understand each other better. For example, we can use social media, short videos, cultural events, art, music, and storytelling to share our country's culture and learn about others. These activities make communication more interesting and help build friendships between people from different countries.
If I have the chance, I would create projects where young people can share their ideas, traditions, and experiences. This can help reduce misunderstandings and encourage respect for different cultures. I also believe that listening to others is an important part of creativity because it helps us understand different points of view.
In my opinion, a good public diplomacy strategy should be simple, honest, and welcoming. Furthermore, by using creative ideas and open communication, we can build trust, strengthen international friendships, and promote peace and cooperation among people from different cultures.</t>
  </si>
  <si>
    <t>google search</t>
  </si>
  <si>
    <t>Public and Cultural Diplomacy, and Strategic Communication</t>
  </si>
  <si>
    <t>aabuhamad@stu.okan.edu.tr</t>
  </si>
  <si>
    <t>Turkey, Istanbul, Türkiye</t>
  </si>
  <si>
    <t>+905016055898</t>
  </si>
  <si>
    <t>10546586</t>
  </si>
  <si>
    <t>+905367180095</t>
  </si>
  <si>
    <t>amal.abuhamad7</t>
  </si>
  <si>
    <t>https://www.facebook.com/amal.abu.hamad.2025/</t>
  </si>
  <si>
    <t>Passport  (1).pdf</t>
  </si>
  <si>
    <t>1f8cb81c-44ac-4b63-aec3-1b1a71bc5107.jpg</t>
  </si>
  <si>
    <t>Science</t>
  </si>
  <si>
    <t>Physics</t>
  </si>
  <si>
    <t>Arab American University</t>
  </si>
  <si>
    <t>Palestine</t>
  </si>
  <si>
    <t>Erasmus+ young solutions combating hate speech 2026 Turkey-Izmit</t>
  </si>
  <si>
    <t>Medeniyetler Köprüsü / Bridges of Civilizations</t>
  </si>
  <si>
    <t>https://medkop.org/tr/</t>
  </si>
  <si>
    <t>Leadership / Teamwork / Cross-Cultural Communication / Project Management / Problem Solving  / Critical Thinking /  Event Organization / Community Engagement /  Adaptability / Time Management / Facilitation Skills / Intercultural Dialogue / Research Skils / Digital Literacy</t>
  </si>
  <si>
    <t>AMAL_CV (1).pdf</t>
  </si>
  <si>
    <t>Surely! Changing the world is not something that can happen in days. And it is not something that one person can did. I realised that if I want to change the world I need first to improve myself, inspire my surrounding community, affect them positively by proving that there is hope, and there is goodness in every hardship and a gift in every denial! and step by step, with the people WE CAN CHANGE THE WORLD.</t>
  </si>
  <si>
    <t>I believe there is no single most diplomatically relevant country, because diplomacy is based on international cooperation. Switzerland, for example, is well-known for its neutrality, mediation efforts, and hosting of international organizations, making it an influential participant in global diplomacy. Instead of relying just on one country's power, I believe that good diplomacy is about encouraging communication, promoting peace, and encouraging international cooperation.</t>
  </si>
  <si>
    <t>I believe that young people play a crucial part in diplomacy by bridging cultural gaps, facilitating debate, and developing mutual understanding. Volunteering, youth exchanges, and community activities allow young people to question preconceptions, share new viewpoints, and contribute to cross-border peaceful cooperation.
For me, public diplomacy is about connecting people, not just countries. It promotes cultural exchange, education, and collaboration, thereby strengthening international links. I can relate to this idea because of my personal experiences as a volunteer, private tutor, and Erasmus+ Youth Exchange participant. Working with people from many backgrounds taught me the value of mutual respect, active listening, and intercultural communication. These experiences encouraged me to become a more involved global citizen, utilizing education and community service to effect positive change. I believe that dialog and youth participation are critical to creating a more inclusive, peaceful, and cooperative world.</t>
  </si>
  <si>
    <t>To me, passion is more than just doing something I enjoy or am motivated to accomplish. True passion is connected to purpose, dedication, and accountability. I believe it is critical to distinguish between passion and responsibility since we cannot rely solely on our emotions every day. We don't always feel motivated, yet we still have tasks that demand discipline and regularity.
Passion provides direction and energy, but responsibility keeps us going when motivation lacks. This approach has helped me stay focused on my academic ambitions, volunteer work, and personal development even during difficult times. I believe that long-term success is attained not only by doing what we enjoy, but also by sticking to our commitments with dedication and determination.</t>
  </si>
  <si>
    <t>Yes, I consider myself creative, particularly when it comes to discovering meaningful ways to connect with others and solve problems. As a tutor and volunteer, I've learnt how to express complicated ideas in simple and fascinating ways while adapting to a variety of audiences and cultures.
Creativity can be an effective public diplomacy strategy when utilized to promote understanding rather than simply providing information. Creative educational activities, cultural exchanges, storytelling, and collaborative projects can unite individuals from many backgrounds, challenge preconceptions, and promote dialogue. Such strategies foster trust and long-term connections, which are essential components of public diplomacy. 
I believe that creativity is most effective when it serves a purpose. By integrating creativity, empathy, communication, and responsibility, we can encourage cooperation, increase cultural understanding, and make diplomacy more accessible to youth and local communities.</t>
  </si>
  <si>
    <t>sadich69@gmail.com</t>
  </si>
  <si>
    <t>House no 112, Jasmine Block, Park view City Lahore, Lahore, Punjab, Pakistan</t>
  </si>
  <si>
    <t>923476333150</t>
  </si>
  <si>
    <t>CQ5202103</t>
  </si>
  <si>
    <t>923400033022</t>
  </si>
  <si>
    <t>nil</t>
  </si>
  <si>
    <t>Sadafzamann</t>
  </si>
  <si>
    <t>Sadaf Zaman</t>
  </si>
  <si>
    <t>3e02bad6-4975-4430-9202-6270ea21e823.jpg</t>
  </si>
  <si>
    <t>12.jpg</t>
  </si>
  <si>
    <t>Law</t>
  </si>
  <si>
    <t>Taxation Law</t>
  </si>
  <si>
    <t>Punjab University law college</t>
  </si>
  <si>
    <t>Augustana University, USA</t>
  </si>
  <si>
    <t>Curriculum Vitae.docx</t>
  </si>
  <si>
    <t>Being a public administrator in local government department, I tried to help out impoverished an deprived women by ensuring laws support equal property rights for spouses. I also worked with international organization to draft laws to improve registration and documentation systems of marriage.It helped to prevent fraud, forced marriages, or denial of rights. We also ensured women have access to official documents (marriage certificates, identity records), which are often needed for legal protection.</t>
  </si>
  <si>
    <t>Pakistan plays an important role as a diplomatically significant country due to its strategic location, nuclear capability, large population, and involvement in regional and global political affairs. Its foreign policy is largely shaped by geography, security concerns, economic priorities, and relationships with major world powers.</t>
  </si>
  <si>
    <t>Youth plays a growing and important role in diplomacy because modern international relations are no longer shaped only by governments—they are also influenced by people-to-people connections, culture, technology, and public opinion. The role of youth in cultural Diplomacy and Image Building is important as breaking stereotypes through personal interactions.Youth are the most active users of digital platforms. Hence, Digital and Social Media Diplomacy can help in Peacebuilding and Conflict Resolution.</t>
  </si>
  <si>
    <t>Passion is a strong feeling of enthusiasm, interest, or love for something you care deeply about. It is what drives you to spend time, energy, and effort on an activity even when it is difficult or requires patience. Passion helps me in achieving goals by giving me motivation and makes it easier to stay consistent. Goals often come with failures and setbacks. Passion helps me continue even when things get difficult. Passion keeps my attention on what matters. It reduces distractions when you are passionate, I m more likely to learn new skill and seek improvement. This accelerates personal development. Success takes time. Passion helps me stay committed for years, not just days or weeks. Passion is the inner drive that turns goals into action. It helps me stay motivated, overcome challenges, and grow continuously. When combined with discipline and planning, passion becomes a powerful force for achieving success.</t>
  </si>
  <si>
    <t>An effective diplomatic strategy is built by combining clear goals, strong institutions, economic engagement, soft power, and skilled negotiation. It requires long-term vision and adaptability to changing global conditions. We should  first identify what we wants to achieve through diplomacy, such as dialogue on economic growth and trade expansion,regional influence and cooperation,cultural and educational exchange Without clear priorities, diplomacy becomes reactive and inconsistent. Effective strategy requires deep analysis of power dynamics (major powers and alliances), conflicts and opportunities ,International laws and institutions This helps predict challenges and opportunities.A successful strategy depends on capable institutions like Specialized diplomatic training academies Skilled diplomats ensure policies are implemented effectively abroad. Diplomacy works at two levels:Bilateral: Direct relations with individuals and Multilateral engagement.Balancing both helps increase influence and cooperation.Economic strength increases diplomatic influence.Soft power helps shape global perception through,Culture, education, media and public diplomacy This builds trust and reduces hostility.
________________________________________</t>
  </si>
  <si>
    <t>Website</t>
  </si>
  <si>
    <t>Responsible Leadership Towards Sustainable Development</t>
  </si>
  <si>
    <t>Shokhrukh Eshnazarov</t>
  </si>
  <si>
    <t>shoxrux.eshnazarov@icloud.com</t>
  </si>
  <si>
    <t>Mulloqandov ko'chasi 1-yo'lak,3, Samarkand, Uzbekistan, Uzbekistan</t>
  </si>
  <si>
    <t>+998947250032</t>
  </si>
  <si>
    <t>FB2013103</t>
  </si>
  <si>
    <t>+998931886687</t>
  </si>
  <si>
    <t>shoxrux-eshnazarov</t>
  </si>
  <si>
    <t>725shz</t>
  </si>
  <si>
    <t>shoxruxeshnazarov_</t>
  </si>
  <si>
    <t>Документ (2).pdf</t>
  </si>
  <si>
    <t>photo_2026-06-27_22-06-02.jpg</t>
  </si>
  <si>
    <t>2nd course</t>
  </si>
  <si>
    <t>Economics (Industries and Sectors)</t>
  </si>
  <si>
    <t>Tashkent State University of Economics — Samarkand Branch</t>
  </si>
  <si>
    <t>Primary Organization of Youth Union — Tashkent State University of Economics, Samarkand Branch</t>
  </si>
  <si>
    <t>https://sbtsue</t>
  </si>
  <si>
    <t>Youth Union Coordinator, Event Organizer, Organizational Affairs Specialist</t>
  </si>
  <si>
    <t>I have founded and co-founded several youth initiatives:
Yosh Islohatchilar — a youth reform movement inspiring young people to contribute to social and civic change.
Venture Volunteer — a volunteer platform connecting youth with entrepreneurship and community development opportunities.
Hamnasaf — a peer support initiative fostering solidarity and collaboration among students.
SpeakUp — a public speaking and debate platform empowering young people to develop communication and critical thinking skills.</t>
  </si>
  <si>
    <t>Event Planning, Team Leadership, Volunteer Coordination, Public Speaking, Organizational Management, Community Engagement, Hospitality Operations, OTA Channel Management, Digital Marketing, Social Media Content Creation, Multilingual Communication (Uzbek, English C1, Russian B2, Tajik B2)</t>
  </si>
  <si>
    <t>Shokhrukh_Eshnazarov_YPDS_Delegate_CV (4).pdf</t>
  </si>
  <si>
    <t>Yes — and I have already begun. As founder of four youth organizations in Samarkand, including SpeakUp, Venture Volunteer, Hamnasaf, and Yosh Islohatchilar, I have taken concrete steps to create change at the grassroots level. I mobilized over 60 volunteers for a city-wide Navruz fair, organized educational seminars for government employees, and progressed from Samarkand City Council member to Chairman of Yosh Islohatchilar in under six months. I believe change starts locally — with one conversation, one event, one empowered young person at a time. My actions reflect my conviction that youth are not the leaders of tomorrow; we are the leaders of today.</t>
  </si>
  <si>
    <t>Indonesia stands out as one of the most diplomatically significant countries in the world. As the world's largest Muslim-majority democracy, the fourth most populous nation, and a founding member of ASEAN, Indonesia bridges Eastern and Western values with remarkable balance. Its commitment to the principle of "bebas dan aktif" — free and active foreign policy — allows it to maintain strong relationships across geopolitical divides. Indonesia's role as a G20 member and its leadership in multilateral diplomacy make it a model for emerging nations. Hosting YPDS Jakarta 2026 reflects exactly this spirit: using diplomacy as a tool for youth empowerment and global dialogue.</t>
  </si>
  <si>
    <t>Youth are the most underutilized resource in diplomacy. Traditionally, diplomacy has been the domain of experienced statesmen and senior officials. But in an increasingly interconnected world shaped by social media, climate change, and rapid technological transformation, the perspectives of young people are not optional — they are essential.
Youth bring creativity, digital fluency, and a cross-cultural adaptability that traditional diplomacy often lacks. We are native to a globalized world; we speak across borders through shared music, language, and values more naturally than any formal treaty.
Public Diplomacy, in particular, resonates deeply with me. It moves beyond government-to-government relations and focuses on building genuine understanding between peoples. As a multilingual youth leader who has organized community events, facilitated dialogue between students and government officials, and founded platforms like SpeakUp to amplify young voices, I have lived the essence of public diplomacy without always naming it as such.
I believe youth must be not just participants but architects of diplomatic conversations. At YPDS Jakarta 2026, I hope to deepen my understanding of how public diplomacy works at the international level — and bring those tools back to Uzbekistan to build bridges, not walls.</t>
  </si>
  <si>
    <t>Passion, to me, is the force that keeps you moving when logic says stop. It is not merely enthusiasm — it is a deep, sustained commitment to something larger than yourself.
My passion for youth empowerment has driven every significant achievement in my life. When I founded SpeakUp, there was no guarantee anyone would come. When I organized the Navruz Open Fair with the Samarkand city government, coordinating 60+ volunteers required countless hours of planning, negotiation, and problem-solving. When I progressed from a city council member to Chairman of Yosh Islohatchilar in under six months, it was not luck — it was passion channeled into disciplined, consistent action.
Passion also helps me persist through failure. Not every event went perfectly; not every initiative succeeded immediately. But passion gave me the resilience to learn, adapt, and continue. It transforms obstacles into lessons and setbacks into fuel.</t>
  </si>
  <si>
    <t>Creativity, for me, is not about art — it is about finding unexpected solutions to real problems. And yes, I am deeply creative in this sense.
As a social media content creator for Al Samarqandi Hotel, I have turned ordinary hotel moments into engaging digital stories that attract guests and build brand loyalty. As founder of SpeakUp, I created a debate platform from scratch — designing formats, recruiting participants, and building a community where none existed before. When organizing the Navruz Open Fair, I worked creatively within limited resources to deliver a city-wide event that brought together students, government officials, and citizens.
In public diplomacy, creativity is not optional — it is the engine. A creative diplomat does not just deliver a message; they craft an experience. They use storytelling, cultural exchange, and digital platforms to make ideas feel personal and relevant to their audience.
My strategy would combine three creative pillars: authentic storytelling through social media, experiential events that create shared memories across cultures, and youth-led dialogue platforms like SpeakUp that give ordinary people a voice in extraordinary conversations. Creativity transforms diplomacy from a formal process into a human connection.</t>
  </si>
  <si>
    <t>https://grantgo.uz/</t>
  </si>
  <si>
    <t>Youth Leadership and Public Diplomacy</t>
  </si>
  <si>
    <t>xayalaththaksin@gmail.com</t>
  </si>
  <si>
    <t>109 house number, Phon Village, ThaLat street, Phon Hong district, Vieng Chan Province, Lao, People's Democratic Republic</t>
  </si>
  <si>
    <t>lao</t>
  </si>
  <si>
    <t>+84813013432 ( vietnam ) , +8562055261514 (laos)</t>
  </si>
  <si>
    <t>P2403218</t>
  </si>
  <si>
    <t>+84813013432 ( vietnam )</t>
  </si>
  <si>
    <t>jojo_ths</t>
  </si>
  <si>
    <t>Jojoths</t>
  </si>
  <si>
    <t>PVD01880.JPG</t>
  </si>
  <si>
    <t>bachelor's</t>
  </si>
  <si>
    <t>Bachelor Business Administration</t>
  </si>
  <si>
    <t>business Administration( High Quality program)</t>
  </si>
  <si>
    <t>Vinh University</t>
  </si>
  <si>
    <t>Yes. Through my Business Administration program, I have completed several academic projects involving literature review, survey data collection, data analysis, and report writing. These experiences have helped me develop basic research and critical thinking skills.</t>
  </si>
  <si>
    <t>1. From 2020 to 2022, while studying at the Youth Development Center of Vientiane Province in Laos, I volunteered as an English teacher for younger Lao students.  2.Since my first year at Vinh University, I have been an active member of the Lao Students Association. I currently serve as the President of the Association, where I organize cultural events, support Lao students, coordinate with university departments, and promote friendship between Lao and Vietnamese students. 3,  In the summer of 2024, I joined the Vinh University Summer Volunteer Campaign as the leader of a volunteer team in Xieng Khouang Province, Laos. For one month, my team taught Vietnamese to Lao students and organized educational and cultural activities. 4.This summer 2026, I am still volunteering in a campaign in Xieng Khoang Province, Laos, for one month.</t>
  </si>
  <si>
    <t>https://baonghean.vn</t>
  </si>
  <si>
    <t>President of the Lao Students Association</t>
  </si>
  <si>
    <t>Leadership, Public Speaking, Event Management, Project Coordination, Cross-Cultural Communication, Teamwork, Volunteer Management, Community Engagement, Microsoft Office, English Communication.</t>
  </si>
  <si>
    <t>thaksin.pdf</t>
  </si>
  <si>
    <t>Yes, I have always believed that meaningful change begins with small actions taken consistently. In my personal capacity, I have tried to make an impact by supporting student activities, encouraging cross-cultural understanding, and helping create spaces where young people can share ideas and lead together. As a student leader, I have worked to connect people from different backgrounds and promote collaboration through events and community initiatives. I also believe that service matters in everyday life, so I try to listen, support others, and contribute positively wherever I am. For me, changing the world starts with building trust, inspiring responsibility, and making a difference in one community at a time.</t>
  </si>
  <si>
    <t>I believe Indonesia is one of the world's most diplomatically important countries. As a Lao student in Vietnam, I admire how Indonesia, despite its diversity, speaks with a unified voice globally. Indonesia plays an important role in ASEAN, also as a bridge between different cultures and political perspectives. Its leadership in hosting ASEAN Summits and its active participation in the G20 show its strong commitment to dialogue, cooperation, and peace.
What I find most impressive is Indonesia's voice in representing the Global South, especially in areas like climate change, sustainable development, and youth empowerment.
To me, Indonesia's strength lies in soft power, connecting people and building understanding across differences. This diplomacy is exactly what our divided world needs</t>
  </si>
  <si>
    <t>Youth play a vital role in diplomacy because they bring fresh perspectives, energy, and a long-term vision. Young people are often more open to dialogue and more willing to build connections across cultures. They act as bridges, promote peace, and support cooperation through education, volunteering, and leadership.
I relate strongly to the idea of public diplomacy because I have experienced its power firsthand. As a Lao student studying in Vietnam, I arrived in Nghe An Province feeling nervous and uncertain. Everything was new, but simple conversations with Vietnamese friends, shared meals, and invitations to cultural activities helped me feel at home. Those small moments taught me that diplomacy happens between people, not just governments.
Today, as a student leader, I help new Lao students adjust to life in Vietnam. I organize cultural exchange activities, facilitate discussions, and encourage dialogue between students from different backgrounds. These actions may seem small, but they are public diplomacy in practice. They building trust, breaking stereotypes, and creating lasting friendships.
I believe youth are not just the leaders of tomorrow, we are the bridge-builders of today. Through connection, courage, and responsibility, we can shape a more peaceful and understanding world. Public diplomacy starts with each of us, in our daily interactions. And that is something every young person can do.</t>
  </si>
  <si>
    <t>Passion is what keeps me moving when things become difficult. For me, it is not only about interest, but also about staying committed even when progress is slow.
My passion is public service and youth empowerment. It grew when I first arrived in Vietnam as a Lao student. I felt confused and alone at first, and I understood how hard it can be to adapt to a new place. Over time, I wanted to help other students who might feel the same way. That became my motivation and my purpose.
This passion has helped me become a student leader and organize cultural activities for new Lao students. It also gave me the confidence to apply for programs like YPDS, even when I doubted my English skills and abilities. 
For me, passion is what turns effort into progress. It is the reason I keep learning, growing, and serving others. It helps me work toward a better future for myself, my community, and ASEAN.</t>
  </si>
  <si>
    <t>Yes, I consider myself a creative person. For me, creativity is not only about art or design, but also about finding better ways to connect with people and solve problems.
When I helped new Lao students adjust to life in Vietnam, I noticed that long information sessions did not work very well. Many students felt tired, overwhelmed, or confused. So I tried a different approach. I created a simple group chat where I shared daily tips about living in Nghe An, talked honestly about my own mistakes when I first arrived, and organized small buddy meetups. This made people feel more comfortable, less alone, and more willing to ask questions. It also taught me that small, creative ideas can make a big difference in people's lives.
I believe creativity can also help in public diplomacy. Young people today are surrounded by so formal speeches alone are not enough. We need creative tools like storytelling, cultural activities that feel real and relatable. If given the opportunity, II would use creativity to make important issues such as climate change, diversity, and cooperation feel more personal and meaningful.
Ultimately, creativity makes diplomacy feel human. It helps build trust, break down stereotypes, and encourage genuine cooperation across borders.</t>
  </si>
  <si>
    <t>I learned about this program through scholarship opportunity websites, social media such as Facebook, and online youth leadership announcements.</t>
  </si>
  <si>
    <t>I am most interested in public diplomacy, leadership development, strategic communication, and peacebuilding because these areas connect closely with my interests and experience.</t>
  </si>
  <si>
    <t>1098938292@qq.com</t>
  </si>
  <si>
    <t>Chinese</t>
  </si>
  <si>
    <t>+8618809880669</t>
  </si>
  <si>
    <t>EC3175075</t>
  </si>
  <si>
    <t>+8613718876991</t>
  </si>
  <si>
    <t>Profile Photo - XUE LI.jpeg</t>
  </si>
  <si>
    <t>Bechalor</t>
  </si>
  <si>
    <t>A</t>
  </si>
  <si>
    <t>Shenyang Areospace University</t>
  </si>
  <si>
    <t>Shenyang Green Window Volunteer</t>
  </si>
  <si>
    <t>XUE LI CV.pdf</t>
  </si>
  <si>
    <t>Yes. I focused on changing how people handle risk. When generative AI spread, I saw colleagues unintentionally exposing sensitive data to public tools. Instead of just banning usage, I took personal action to bridge the policy gap. I developed training materials, ran sessions for over 50 colleagues, and maintained a feedback loop to fix system glitches. This grassroots effort transformed our internal AI adoption from 20% to 75% and improved forecast accuracy by 30%. I believe changing the world starts with changing workplace habits—ensuring that as technology advances, we build a culture of security and trust from the ground up.</t>
  </si>
  <si>
    <t>China is the most diplomatically significant country today. Its role as a global manufacturing hub and its regulatory experiments with AI governance create ripple effects worldwide. As a practitioner in China, I see how its policies—such as the 2023 Interim Measures for AI—shape global standards. However, its diplomatic significance also lies in its tensions: the friction between the U.S. CLOUD Act and China's Data Security Law highlights the urgent need for global dialogue. China’s actions force the world to negotiate new frameworks for technology and data, making it indispensable in modern diplomacy.</t>
  </si>
  <si>
    <t>The youth’s role in diplomacy is to translate. Not just languages, but translating abstract policies into everyday reality, and translating cross-cultural nuances into actionable trust. We are the generation that moves between physical borders and digital ecosystems, and our role is to ensure that technology serves human connection rather than dividing it.
I relate to public diplomacy through my work on AI governance. When I train colleagues or moderate roundtables, I am practicing a form of public diplomacy—building understanding across different stakeholders. I navigate the tensions between Chinese regulations and U.S. legal frameworks, and I see how data flows become a diplomatic frontier. My role is to demystify these tensions for practitioners and to find common ground in a polarized environment.
Public diplomacy, to me, is not just about state-to-state relations. It is about building networks of trust between people who face similar challenges under different legal systems. As a young professional, I bring the energy to bridge these gaps and the humility to learn from global peers. We, the youth, are not just future leaders—we are present translators of complexity, building bridges where walls could otherwise be built.</t>
  </si>
  <si>
    <t>Passion is the quiet persistence to solve problems that others accept as inevitable. When I saw small businesses left behind by AI regulation, I felt a deep responsibility to act—not because it was my job, but because I believe technology should not widen inequality.
Passion helps me by sustaining curiosity. It turns barriers into puzzles to solve, rather than obstacles to avoid. When colleagues were reluctant to adopt secure AI tools, passion kept me patient—running trainings, gathering feedback, and iterating. It made me see the human stories behind compliance statistics.
Passion also grounds my goals in service. I do not aim to create perfect frameworks; I aim to create usable ones. It gives me the courage to ask difficult questions and the empathy to listen to the answers. Ultimately, passion turns ambition into action, and action into impact.</t>
  </si>
  <si>
    <t>Yes, creativity is at the core of my work. When employees bypassed security protocols to use public AI tools, I creatively reframed the issue—not as a rule-breaking problem, but as a design problem. I translated dense compliance documents into relatable case studies, built a feedback mechanism that empowered users, and turned frustration into collaboration.
For public diplomacy, creativity means designing bridges rather than fences. I propose a strategy focused on "narrative prototyping"—using simulated cross-border scenarios to train youth diplomats. Instead of static policy briefs, we could create interactive workshops where participants negotiate data-sharing agreements in real-time, experiencing the friction between different legal systems first-hand.
Creativity also means translating technical issues into human stories. As a moderator, I use storytelling to make complex regulatory shifts accessible to non-experts. In public diplomacy, this approach can break through cultural barriers, fostering empathy and mutual understanding.
Ultimately, creativity turns diplomacy from a top-down exercise into a participatory practice. It allows youth to envision new frameworks and test them in safe spaces, building resilience and adaptability for the complex world ahead.</t>
  </si>
  <si>
    <t>friend referred</t>
  </si>
  <si>
    <t>FATIMA ZOHRA AHLALOUM</t>
  </si>
  <si>
    <t>Al-Awama Al-Sharqiya neighborhood, Tangier, Morocco, Tangier, Morocco</t>
  </si>
  <si>
    <t>Morocco</t>
  </si>
  <si>
    <t>‭+212 7 13 54 45 90‬</t>
  </si>
  <si>
    <t>UF1016050</t>
  </si>
  <si>
    <t>+905550056522</t>
  </si>
  <si>
    <t>FATIMA ZOHRA PASSPORT_1.jpeg</t>
  </si>
  <si>
    <t>Photo z_1.jpeg</t>
  </si>
  <si>
    <t>Nursing</t>
  </si>
  <si>
    <t>Bachelor of Science in Nursing, and Higher Diploma in Nursing</t>
  </si>
  <si>
    <t>Higher Institute of Nursing Professions and Health Techniques (ISPITS), Tangier</t>
  </si>
  <si>
    <t>Lamsat Khair Association for Charitable Works, Tangier</t>
  </si>
  <si>
    <t>Vice-President</t>
  </si>
  <si>
    <t>Yes, Nosra Tangier Association</t>
  </si>
  <si>
    <t>Nosra Tangier Association
• Take part in all solidarity actions, awareness campaigns, and humanitarian stands organized by the association.
• Supervise the drafting, printing, and official stamping of association notices and certificates.
• Provide first-aid support during association-organized camps and outdoor activities.</t>
  </si>
  <si>
    <t>• Surgical &amp; pre/post-operative patient care • Patient monitoring &amp; vital signs assessment • First aid &amp; emergency response • Event &amp; volunteer team coordination • Administrative documentation &amp; recordkeeping • Teamwork &amp; multidisciplinary collaboration</t>
  </si>
  <si>
    <t>IMG_0988.jpeg</t>
  </si>
  <si>
    <t>Yes. As a nurse, I witness daily how small acts of care can restore dignity to people at their most vulnerable. I’ve taken this belief beyond the hospital by volunteering in community health initiatives, supporting underserved groups, and building networks across social circles to connect people with resources they need. I believe change doesn’t require grand gestures — it requires consistent, compassionate action. Every patient I care for and every volunteer project I join is a deliberate choice to make my community stronger. I see this conference as a natural extension of that mission, on a global scale.</t>
  </si>
  <si>
    <t>I believe Qatar holds significant diplomatic weight today. Despite its small size, it has positioned itself as a key mediator in regional and international conflicts, hosting dialogues between parties that often can’t speak directly to one another. Its investment in soft power — through education, media, and cultural diplomacy — shows how a nation can shape global conversations without relying solely on military or economic dominance. This model demonstrates that diplomatic significance isn’t about size or power alone, but about trust, neutrality, and the ability to bring people to the table.</t>
  </si>
  <si>
    <t>Youth bring fresh perspectives, digital fluency, and a willingness to challenge outdated narratives — all essential to modern diplomacy. We are often the bridge between traditional institutions and grassroots communities, translating complex policies into relatable, human stories. As a nurse and volunteer, I already practice a form of public diplomacy daily: building trust with people from different backgrounds, listening without judgment, and communicating care across language and cultural barriers. Public diplomacy isn’t confined to formal negotiations — it lives in every interaction where understanding replaces assumption. I relate to it deeply because my work requires the same skills diplomacy demands: empathy, patience, and clear communication. I see myself as an informal ambassador in my own community, and I want to develop these instincts into a more structured, strategic capacity through this program</t>
  </si>
  <si>
    <t>Passion is the internal drive that keeps you moving forward even when the work is difficult or unrecognized. For me, it’s the reason I chose nursing — not just as a profession, but as a calling to serve people during their hardest moments. Passion helps me stay consistent; it’s what pushes me to volunteer after long shifts or advocate for causes I believe in, even without immediate reward. It transforms routine tasks into meaningful contributions. When I’m passionate about something, I don’t just complete it — I invest in it, refine it, and stay committed until it creates real impact. This is the same energy I intend to bring to youth diplomacy work.</t>
  </si>
  <si>
    <t>Yes, I consider myself creative — not in a traditional artistic sense, but in how I solve problems and connect with people. In nursing, creativity means finding new ways to comfort a frightened patient or explain a diagnosis simply. In volunteering, it means designing initiatives that resonate with different communities. I can channel this creativity into public diplomacy by developing culturally sensitive communication strategies — using storytelling, relatable language, and grassroots engagement rather than rigid formal messaging. Effective public diplomacy needs to feel human, not scripted. My creativity allows me to tailor messages to different audiences, build genuine relationships instead of one-way broadcasts, and find unconventional platforms — social circles, community events, informal networks — to spread ideas. I believe diplomacy succeeds when it feels personal, and creativity is what makes that possible.</t>
  </si>
  <si>
    <t>From my husband</t>
  </si>
  <si>
    <t>Public relations and youth development</t>
  </si>
  <si>
    <t>ABOUOBAIDA ELBOROLOSY</t>
  </si>
  <si>
    <t>fluffyhomerw@gmail.com</t>
  </si>
  <si>
    <t>MUHIMA KIGALI NYARUGENGE, Gasabo, KIGALI, Rwanda</t>
  </si>
  <si>
    <t>+250784058750</t>
  </si>
  <si>
    <t>A42493082</t>
  </si>
  <si>
    <t>+250794243485</t>
  </si>
  <si>
    <t>Abouobaida Zaher</t>
  </si>
  <si>
    <t>Scanned Document 2.pdf</t>
  </si>
  <si>
    <t>IMG_4806.jpeg</t>
  </si>
  <si>
    <t>Master of business administration and Bachelor of Business Administration</t>
  </si>
  <si>
    <t>Kigali Independent University UL K</t>
  </si>
  <si>
    <t>Egypt &amp; Rwanda</t>
  </si>
  <si>
    <t>Rwanda</t>
  </si>
  <si>
    <t>Founder &amp; CEO of FLUFFY HOME LTD, MAISON DU TAPIS LTD and Dr Tapis RW.</t>
  </si>
  <si>
    <t>Entrepreneurship, Business Leadership, Strategic Planning, Business Development, Data-Driven Marketing, Customer Acquisition, Revenue Growth, Partnership Development, Team Building, Communication, Public Speaking.</t>
  </si>
  <si>
    <t>CV OBIDA ZAHER.pdf</t>
  </si>
  <si>
    <t>Yes. I believe real change begins with creating opportunities for others. Instead of waiting for change, I focused on building businesses that create jobs, develop local talent, and contribute to economic growth in Rwanda. Through my companies, I have created permanent employment for local citizens and supported the “Made in Rwanda” vision. Beyond business, I participate in community service through Umuganda, contribute to health insurance for vulnerable families, and support social initiatives such as breast cancer awareness. I believe entrepreneurship is one of the most practical ways to improve lives and create sustainable impact within communities.</t>
  </si>
  <si>
    <t>I believe no single country can be considered the most diplomatically significant because today’s global challenges require cooperation rather than competition. However, I admire countries that use diplomacy to build peace, encourage trade, and promote international development. Rwanda is a remarkable example of how effective diplomacy can transform a nation’s global image through reconciliation, economic partnerships, and regional cooperation. Countries that invest in dialogue, mutual respect, and sustainable development create stronger international relationships. In my opinion, successful diplomacy is measured not only by political influence but also by the ability to build trust and create opportunities for people.</t>
  </si>
  <si>
    <t>Young people are among the most influential actors in modern diplomacy because they communicate beyond borders through entrepreneurship, education, technology, and social media. Public diplomacy is no longer limited to governments; individuals can shape how countries are perceived by building positive relationships and promoting cooperation.
As an Egyptian entrepreneur living and investing in Rwanda, I experience public diplomacy every day. Through my businesses, I work with people from different nationalities, cultures, and institutions. I believe every business interaction is an opportunity to strengthen mutual understanding and trust. By creating employment, respecting local culture, promoting ethical business practices, and supporting community initiatives, I aim to build bridges between people rather than simply conducting business.
I also believe that young entrepreneurs can represent their countries through integrity, innovation, and collaboration. Public diplomacy is about actions more than words. When people experience fairness, professionalism, and respect, they develop a positive impression not only of an individual but also of the country they represent.
For me, diplomacy means creating partnerships that benefit everyone and contribute to peace, economic development, and stronger international cooperation.</t>
  </si>
  <si>
    <t>Passion is the inner motivation that keeps a person moving even during difficult times. It gives purpose to hard work and transforms challenges into opportunities for growth. My passion is building businesses that create value for society while contributing to economic development.
Starting companies in a new country required resilience, continuous learning, and patience. There were many obstacles, but passion helped me remain focused on long-term goals rather than temporary setbacks. It also motivates me to keep improving my leadership, learning new skills, and supporting the people who work with me.
I believe passion alone is not enough; it must be supported by discipline, responsibility, and continuous action. Together, these qualities help transform ideas into sustainable achievements that positively impact both individuals and communities.</t>
  </si>
  <si>
    <t>Yes, I consider myself a creative person because I enjoy solving problems, building new ideas, and finding innovative ways to connect with people. Creativity is not limited to art; it is also about developing practical solutions that improve lives and strengthen relationships.
If given the opportunity, I would use creativity as a public diplomacy strategy by combining entrepreneurship, digital communication, and cultural exchange. I believe businesses can become platforms for promoting understanding between different communities. Through storytelling, social media campaigns, community projects, and cross-cultural partnerships, it is possible to highlight shared values rather than differences.
My experience in establishing businesses in Rwanda has shown me that trust is built through consistent actions, transparency, and respect for local communities. I would encourage young people from different countries to collaborate on business, education, and volunteer initiatives that create long-term relationships.
An effective public diplomacy strategy should focus on people first. When communities work together, exchange knowledge, and create opportunities, diplomacy becomes more meaningful and sustainable. I believe creativity allows us to communicate across cultures and transform cooperation into lasting partnerships that benefit everyone.</t>
  </si>
  <si>
    <t>Public Diplomacy in the 21st Century, Global Politics, Diplomacy &amp; Identities, and Economic Diplomacy.</t>
  </si>
  <si>
    <t>SHAFEI MAHMOUD</t>
  </si>
  <si>
    <t>mahmoudabouelhamd.com@gmail.com</t>
  </si>
  <si>
    <t>Kigali, Kigali, Rwanda</t>
  </si>
  <si>
    <t>Rwandan</t>
  </si>
  <si>
    <t>+250788300458</t>
  </si>
  <si>
    <t>PC876398</t>
  </si>
  <si>
    <t>+250783459332</t>
  </si>
  <si>
    <t>PASSPORT RW.pdf</t>
  </si>
  <si>
    <t>Passport photo .PNG</t>
  </si>
  <si>
    <t>Researcher in Islamic Law</t>
  </si>
  <si>
    <t>Bachelor's Degree in Islamic Studies - Al-Azhar University</t>
  </si>
  <si>
    <t>Researcher in the principles of Islamic jurisprudence</t>
  </si>
  <si>
    <t>Al-Azhar University</t>
  </si>
  <si>
    <t>Al-Hidayah Islamic Institute</t>
  </si>
  <si>
    <t>I am an Imam and Khateeb, Academic Lecturer, and Lecturer of Usul al-Fiqh. My responsibilities include teaching Islamic studies, conducting research, delivering lectures and sermons, mentoring students, and promoting education, ethical leadership, and community development</t>
  </si>
  <si>
    <t>15 years</t>
  </si>
  <si>
    <t>SHAFEI Mahmoud Academic CV Professional.pdf</t>
  </si>
  <si>
    <t>Yes. I believe that changing the world begins with changing the lives of people around us. Throughout my career, I have dedicated myself to education, community service, and leadership. As an Imam, academic lecturer, and trainer, I have mentored young people, promoted dialogue, encouraged critical thinking, and inspired ethical leadership. I have also participated in community initiatives that support education, social responsibility, and peaceful coexistence. Rather than waiting for large opportunities, I focus on making a positive difference every day through knowledge, compassion, and service. Small, consistent actions create meaningful and lasting impact.</t>
  </si>
  <si>
    <t>In my opinion, there is no single country that defines global diplomacy. However, countries such as Switzerland stand out because of their long tradition of neutrality, mediation, and hosting international organizations. The United States also plays a significant diplomatic role through its influence on global security, economics, and international institutions. At the same time, emerging countries like Rwanda demonstrate how effective leadership, reconciliation, and regional cooperation can positively shape international diplomacy. Ultimately, diplomatic significance is measured not only by power but by the ability to promote peace, dialogue, development, and cooperation among nations.</t>
  </si>
  <si>
    <t>Young people are essential drivers of modern diplomacy. They bring fresh perspectives, creativity, technological knowledge, and the ability to connect across cultures. In today’s interconnected world, diplomacy is no longer limited to governments; young leaders, educators, entrepreneurs, and civil society members all contribute to building international understanding.
Public diplomacy focuses on strengthening relationships between people rather than only between governments. It promotes mutual respect, cultural exchange, dialogue, and cooperation. I strongly relate to this concept because my work has always centered on education, communication, and community engagement. As an academic lecturer, Imam, and trainer, I have worked with diverse audiences to encourage tolerance, ethical leadership, and peaceful coexistence.
I believe public diplomacy begins with listening, respecting different perspectives, and building trust. Whether through education, intercultural dialogue, humanitarian initiatives, or digital communication, young people can become ambassadors of peace within their communities and internationally.
My goal is to contribute to diplomacy by using education as a bridge between cultures, encouraging constructive dialogue, and promoting shared values that unite people despite their differences. I believe knowledge, empathy, and cooperation are the foundations of sustainable peace and successful diplomacy.</t>
  </si>
  <si>
    <t>Passion is the inner motivation that gives purpose to our work and keeps us committed despite challenges. It transforms responsibilities into meaningful opportunities for growth and service. For me, passion comes from my commitment to education, leadership, and helping others develop their potential.
Passion has helped me remain dedicated to academic research, teaching, public speaking, and community service for many years. It encourages continuous learning, resilience, and self-improvement. Whenever I face obstacles, passion reminds me why I started and motivates me to keep moving forward.
I believe that success is not achieved through talent alone but through consistent effort driven by genuine passion. When passion is combined with discipline, integrity, and a clear vision, it becomes a powerful force that enables individuals to achieve meaningful goals and create lasting positive change.</t>
  </si>
  <si>
    <t>Yes, I consider myself a creative person because I enjoy finding innovative ways to communicate ideas, solve problems, and connect with people from different backgrounds. Creativity is not only about generating new ideas; it is also about presenting familiar ideas in ways that inspire understanding and cooperation.
In public diplomacy, creativity plays a vital role in building positive relationships between societies. Innovative educational programs, cultural exchanges, digital storytelling, social media campaigns, and community initiatives can strengthen mutual understanding and reduce stereotypes. Creative communication makes diplomacy more accessible and engaging, especially for young people.
As an educator and public speaker, I have learned that effective communication requires adapting messages to different audiences while respecting cultural diversity. I believe creativity can transform diplomatic goals into meaningful experiences that encourage participation rather than simply delivering information.
An effective public diplomacy strategy should combine education, culture, technology, and dialogue. By encouraging collaboration, promoting shared values, and creating opportunities for intercultural exchange, creativity becomes a practical tool for strengthening international relationships and fostering peace. In today’s world, creative diplomacy is one of the most powerful ways to build trust and long-term cooperation among people and nations.</t>
  </si>
  <si>
    <t>Through online research and professional networks focusing on international diplomacy, leadership, and global educational opportunities.</t>
  </si>
  <si>
    <t>Public Diplomacy, Cultural Diplomacy, International Relations, Conflict Resolution, Peacebuilding, Global Leadership, and Intercultural Communication.</t>
  </si>
  <si>
    <t>MAHMOUD NOUREDDIN ASLAN</t>
  </si>
  <si>
    <t>Mahmoudnoureddinaslan@gmail.com</t>
  </si>
  <si>
    <t>mahmoudshaaban1985@yahoo.com</t>
  </si>
  <si>
    <t>Namik Kemal Mah, 112 s.K, binaa 32, Daire 5, Esenyurt, İstanbul, Istanbul, Türkiye</t>
  </si>
  <si>
    <t>U25060209</t>
  </si>
  <si>
    <t>+90 538 643 02 22</t>
  </si>
  <si>
    <t>https://www.instagram.com/mahmoud198500?igsh=MWRmOTkxeGt1cG02aQ%3D%3D&amp;utm_source=qr</t>
  </si>
  <si>
    <t>https://www.facebook.com/share/14gSSwm6BGu/?mibextid=wwXIfr</t>
  </si>
  <si>
    <t>Mahmoud’s Passport .pdf</t>
  </si>
  <si>
    <t>Photo .pdf</t>
  </si>
  <si>
    <t>PhD</t>
  </si>
  <si>
    <t>PhD student</t>
  </si>
  <si>
    <t>Islamic studies, Islamic political thought</t>
  </si>
  <si>
    <t>Marmara University in Istanbul</t>
  </si>
  <si>
    <t>Unity yardım vakfı</t>
  </si>
  <si>
    <t>https://unityyardimvakfi.org/index.php?lang=tr</t>
  </si>
  <si>
    <t>Executive Director</t>
  </si>
  <si>
    <t>Communication and coordination with other institutions, and project supervision</t>
  </si>
  <si>
    <t>Rawahil Educational Foundation</t>
  </si>
  <si>
    <t>Contributing to the education and development of student leaders and cadres</t>
  </si>
  <si>
    <t>Public speaking, lecturing, leading work teams, educational supervision, public relations, scientific and academic research, volunteer and relief work</t>
  </si>
  <si>
    <t>CV English.pdf</t>
  </si>
  <si>
    <t>Yes, I have always believed that meaningful change begins with individual action. I believe that change begins with education and building effective and influential young leaders in their communities.
Although one person cannot solve every global challenge, everyone can positively influence their community. I have participated in volunteer activities, supported educational initiatives, and encouraged young people around me to develop new skills and think critically. I also enjoy sharing knowledge through discussions and social media to promote understanding, tolerance, and personal growth. These experiences have taught me that lasting change is built through consistency, empathy, and collaboration. My goal is to continue contributing to society while inspiring others to become active and responsible global citizens.</t>
  </si>
  <si>
    <t>I believe that in recent years Türkiye has become a diplomatic country and plays a remarkable role in mediating between nations and ending wars, and in its international presence, especially in the Middle East and the Balkans.
And I believe Switzerland is one of the most diplomatically significant countries in the world. Its long-standing policy of neutrality has allowed it to host important international organizations and peace negotiations. Geneva serves as a global center for diplomacy, where governments, international institutions, and humanitarian organizations work together to address global challenges. Switzerland demonstrates how trust, stability, and dialogue can contribute to international peace and cooperation. While many countries play important diplomatic roles, Switzerland’s commitment to mediation and multilateral engagement makes it a unique example of how diplomacy can build bridges between nations and promote peaceful solutions.</t>
  </si>
  <si>
    <t>Young people have a vital role in shaping the future of diplomacy. They bring fresh ideas, creativity, and a willingness to embrace diversity and innovation. In today’s interconnected world, diplomacy is no longer limited to governments. Youth can contribute by promoting intercultural dialogue, participating in international exchanges, using digital platforms responsibly, and building relationships across borders.
Public diplomacy is especially important because it focuses on communication between societies rather than only between governments. It helps create mutual understanding, reduce stereotypes, and strengthen international cooperation through education, culture, and people-to-people connections.
I relate strongly to the concept of public diplomacy because I believe communication and cultural understanding are powerful tools for peace. I enjoy learning about different cultures, exchanging ideas with people from diverse backgrounds, and encouraging respectful dialogue. I believe that every conversation has the potential to build trust and create positive change. By participating in international programs, developing leadership skills, and promoting cooperation, I hope to contribute to stronger global relationships. I see public diplomacy as an opportunity to become a bridge between cultures while supporting mutual respect, collaboration, and sustainable development in an increasingly connected world.</t>
  </si>
  <si>
    <t>Passion is the inner motivation that inspires people to pursue their goals with dedication and perseverance. It provides the energy to overcome challenges, continue learning, and remain committed even when progress is slow. Passion is more than enthusiasm; it is a long-term commitment to personal growth and meaningful contribution.
For me, passion motivates me to improve my knowledge, develop leadership skills, and seek opportunities that create positive impact. It encourages me to remain curious, embrace new experiences, and work consistently toward my objectives. Passion also helps me stay resilient during difficult moments because it reminds me why my goals are important. I believe that when passion is combined with discipline, hard work, and a willingness to learn, it becomes a powerful force for success. It allows individuals not only to achieve personal ambitions but also to make valuable contributions to their communities and society.</t>
  </si>
  <si>
    <t>Yes, I consider myself a creative person because I enjoy finding innovative solutions to challenges and exploring new ways to communicate ideas. Creativity is an essential skill in public diplomacy because it helps engage diverse audiences and encourages meaningful dialogue across cultures.
If given the opportunity, I would use creativity to design public diplomacy initiatives that combine storytelling, digital media, cultural exchange, and community engagement. For example, social media campaigns highlighting shared human values, virtual cultural events, and collaborative youth projects can strengthen international understanding and reduce cultural misconceptions. Creative communication makes diplomacy more accessible, especially for young people who actively engage through digital platforms.
I also believe that listening is an important part of creativity. Understanding different perspectives allows diplomats and community leaders to develop messages that are respectful, inclusive, and relevant. By encouraging open conversations and cultural collaboration, creative public diplomacy can build trust and strengthen relationships between societies.
Ultimately, creativity transforms diplomacy from formal dialogue into meaningful human connection. I hope to use my creativity to promote mutual respect, inspire cooperation, and contribute to peaceful international relations through innovative ideas that bring people together despite differences.</t>
  </si>
  <si>
    <t>Through social media and one of my friends</t>
  </si>
  <si>
    <t>* Public Diplomacy and International Relations, because it combines intercultural communication, leadership, and practical diplomatic skills that are essential for addressing today’s global challenges.</t>
  </si>
  <si>
    <t>yazan.khalafallah1@gmail.com</t>
  </si>
  <si>
    <t>KAYABAŞI MAH. ŞEHİT SEMİH BALABAN CAD.  BAŞAKŞEHİR / İSTANBUL, 8.BÖLGE SAFİR SİTESİ, İSTANBUL, Türkiye</t>
  </si>
  <si>
    <t>Palestinian/Turkish</t>
  </si>
  <si>
    <t>+905544989019</t>
  </si>
  <si>
    <t>U26838758</t>
  </si>
  <si>
    <t>+905525564561</t>
  </si>
  <si>
    <t>https://www.instagram.com/_yazan_26?igsh=ZXlhaW5qZXJ6NXM2&amp;utm_source=qr</t>
  </si>
  <si>
    <t>Screenshot 2025-06-28 at 09.32.03 (1).png</t>
  </si>
  <si>
    <t>IMG_0131.HEIC</t>
  </si>
  <si>
    <t>Bachelor of Computer Engineering</t>
  </si>
  <si>
    <t>Istanbul haliç University</t>
  </si>
  <si>
    <t>FÖDERN - Filistin Öğrencileri Derneği (Palestinian Students Association)</t>
  </si>
  <si>
    <t>https://fodern.org/</t>
  </si>
  <si>
    <t>Volunteer Member</t>
  </si>
  <si>
    <t>1 (year)</t>
  </si>
  <si>
    <t>Programming (Python, C++), basic web development, problem-solving,  analytical thinking, teamwork, leadership, communication skills,  time management, volunteering &amp; community work</t>
  </si>
  <si>
    <t>Yazan_Yilmaz_CV_1.docx</t>
  </si>
  <si>
    <t>Yes, I've thought about this more than once — I believe impact doesn't have to be big to matter. The moment I felt it most was when a new student at my university felt lost because of the language and unfamiliar environment, so I guided him through daily life and study matters until he settled in. That simple act showed me how much a small gesture of support can change someone's whole experience. This is also why I volunteer with FÖDERN, a Palestinian students' association in Turkey — as a Palestinian living abroad, I feel responsible for strengthening my community and helping others feel they belong.</t>
  </si>
  <si>
    <t>In my view, the United States stands out as one of the most diplomatically significant countries in the world. Its extensive network of international relations, combined with its economic and military power, gives it major influence over global decisions and conflict mediation. As a Palestinian living in Turkey, I see this influence up close — U.S. policy shapes, directly or indirectly, many issues in our region, especially the Palestinian cause. This personal perspective makes me more aware of how real diplomatic power works: it can either help create solutions or deepen existing complexities, depending on how it's used</t>
  </si>
  <si>
    <t>I believe young people play a distinct and important role in diplomacy, especially in public diplomacy. Unlike older generations, youth have tools that let them connect instantly across borders — through social media, cross-cultural friendships, and everyday interactions that break down stereotypes. This creates a quiet but deep influence on how peoples understand one another.
On a personal level, I feel I practice a kind of 'informal diplomacy' in my daily life. As a Palestinian living in Turkey, I often find myself representing my people and culture to others — through how I behave, how I speak, and how I discuss my cause.
I remember a conversation with a friend from a different background who held a limited, stereotypical view of Palestine. Through a simple, honest conversation, I was able to show him a human and cultural side of our lives, beyond the media image he had grown up with. That moment made me realize that diplomacy isn't limited to politicians — anyone can become a bridge of understanding between cultures, simply by being genuine and open in their everyday interactions</t>
  </si>
  <si>
    <t>To me, passion is the inner drive that keeps you moving forward and growing, even in the hardest circumstances — it's what gives goals real meaning. Passion isn't a passing interest; it's what pushes you to keep going without getting bored, and makes you see challenges as opportunities to learn.
My passion centers on continuous learning and community work. I love constantly developing myself, whether through my studies or the experiences I go through, and I find real value in helping others and contributing to my community, especially through volunteering.
This passion clearly shaped my choices — I chose to keep developing my skills academically while continuing to volunteer despite limited time and responsibilities. For me, it was never just an extra activity; it became a core part of who I am.
I believe this passion will help me reach my future goals by building a balanced character that combines knowledge with social responsibility, and by pushing me to create a positive impact — professionally and within my community</t>
  </si>
  <si>
    <t>I consider myself a creative person, though not necessarily in the traditional artistic sense — my creativity shows in how I think, solve problems, and communicate with others. I enjoy finding new, simple ways to explain ideas, especially when it comes to sensitive or complex issues, and I see that as its own form of creativity.
I believe this creativity can become an effective tool in public diplomacy through modern, innovative means of communication. For example, interactive digital content that tells real human stories in a simple, relatable way — short videos or interactive platforms that let people understand different cultures directly — can help break stereotypes and bring nations closer together.
My background in computer engineering gives me an added advantage here. I can use my technical skills to build digital platforms, applications, or awareness campaigns that use technology to spread humanitarian and cultural messages more widely and effectively. This combination of creativity and technology could form a modern model for public diplomacy — one where impact isn't limited to words alone, but extends to digital tools that reach a global audience.</t>
  </si>
  <si>
    <t>NIDAL ABDELRAHMAN IBRAHIM ABUSWEIREH</t>
  </si>
  <si>
    <t>niddal_87@hotmail.com</t>
  </si>
  <si>
    <t>KAYASEHIR, BASAKSEHIR, Türkiye</t>
  </si>
  <si>
    <t>PALESTINE</t>
  </si>
  <si>
    <t>00905386430222</t>
  </si>
  <si>
    <t>10569451</t>
  </si>
  <si>
    <t>⁦+905396211066⁩</t>
  </si>
  <si>
    <t>https://www.linkedin.com/in/nabusweireh/</t>
  </si>
  <si>
    <t>WhatsApp Image 2026-01-10 at 11.56.51 PM (1).jpeg</t>
  </si>
  <si>
    <t>صورة شخصية.jpg</t>
  </si>
  <si>
    <t>PhD in Business Administration (in progress)</t>
  </si>
  <si>
    <t>Istanbul Commerce University</t>
  </si>
  <si>
    <t>Yes, I am familiar with academic research and have published research in Business Administration.</t>
  </si>
  <si>
    <t>Yes, I volunteered with the Ministry of Education in Gaza and AFAD (Disaster and Emergency Management Authority) in Turkey.</t>
  </si>
  <si>
    <t>https://afad.gov.tr</t>
  </si>
  <si>
    <t>Human Resources Manager</t>
  </si>
  <si>
    <t>The organization aims to promote volunteering, training, and personal/professional development among youth.</t>
  </si>
  <si>
    <t>Academic Research, Writing, Human Resources Management</t>
  </si>
  <si>
    <t>Nidal_Abusweireh_CV_EN (1).docx</t>
  </si>
  <si>
    <t>Yes. Growing up in Gaza, I witnessed firsthand how conflict disrupts education and opportunity for young people. This inspired me to act rather than simply hope for change. I worked with the Ministry of Education in Gaza to support students facing disrupted learning, and later volunteered with AFAD in Turkey, contributing to humanitarian relief efforts. I also founded a youth organization focused on volunteering, training, and personal development, empowering young people to become active contributors to their communities. These experiences taught me that meaningful global change begins with small, consistent actions at the local level.</t>
  </si>
  <si>
    <t>Turkey holds significant diplomatic weight due to its unique geographic and cultural position bridging Europe, Asia, and the Middle East. As a NATO member with strong ties to both Western and Islamic worlds, Turkey plays a pivotal mediating role in regional conflicts, humanitarian diplomacy, and economic cooperation. Its active engagement in organizations like AFAD demonstrates leadership in humanitarian diplomacy, while its foreign policy consistently balances competing global interests. Having lived and studied in Turkey, I have observed how its diplomatic strategy combines soft power, economic partnerships, and cultural diplomacy to maintain influence across multiple regions simultaneously.</t>
  </si>
  <si>
    <t>"Youth are not merely future diplomats—they are present-day agents of change. In an interconnected world, young people communicate across cultures through social media, education exchanges, and grassroots initiatives, often reaching audiences traditional diplomacy cannot. Youth bring authenticity, innovation, and lived experience to diplomatic conversations, making them powerful ambassadors for cross-cultural understanding.
Public Diplomacy resonates deeply with my personal journey. Through my published articles on platforms like Ureed and Ultra Sawt, I have engaged public audiences on social and educational issues, effectively practicing a form of public diplomacy through writing. My volunteer work with AFAD in Turkey and the Ministry of Education in Gaza also reflects public diplomacy in action—building trust and cooperation between communities and institutions during humanitarian crises.
As a PhD candidate in Business Administration, I approach Public Diplomacy strategically: it is not only about government-to-government relations, but about empowering individuals and organizations to represent their societies authentically. I believe youth-led public diplomacy—through storytelling, research, and community engagement—can bridge divides that formal diplomacy sometimes cannot reach.</t>
  </si>
  <si>
    <t>Passion is the internal drive that sustains commitment when circumstances become difficult. It transforms obligation into purpose, allowing individuals to persist beyond ordinary motivation. For me, passion is rooted in a genuine belief that education, research, and community service can create lasting change.
This passion has directly shaped my achievements. It motivated me to pursue a PhD in Business Administration while working full-time as a Human Resources Manager, to publish academic research despite competing demands, and to found a youth organization dedicated to volunteering and development. Passion also fueled my humanitarian work with AFAD and my educational efforts in Gaza, even amid challenging circumstances.
Ultimately, passion converts long-term goals into daily actions. It provides the resilience needed to overcome obstacles and the clarity needed to stay focused on meaningful impact, rather than immediate convenience.</t>
  </si>
  <si>
    <t>Yes, I consider myself a creative thinker, particularly in how I approach problem-solving and communication. My creativity manifests through writing—publishing articles on social and educational topics for platforms like Ureed and Ultra Sawt—as well as through organizational innovation, such as founding a youth-focused organization built around volunteering, training, and development.
I believe creativity is essential to effective public diplomacy because traditional diplomatic messaging often fails to resonate with diverse, modern audiences. An effective public diplomacy strategy must combine authentic storytelling, digital engagement, and culturally sensitive messaging to build genuine connections rather than one-way communication.
Drawing on my academic research background and my experience in human resources management, I would design public diplomacy initiatives that leverage data-driven insights alongside emotionally compelling narratives. For example, using published research and personal testimonials to humanize complex diplomatic issues, combined with youth-led digital campaigns that adapt messaging to different cultural contexts. This blend of analytical rigor and creative storytelling can transform public diplomacy from formal government communication into relatable, impactful dialogue that genuinely shifts public perception and fosters cross-cultural understanding.</t>
  </si>
  <si>
    <t>I received an invitation to register from a youth organization.</t>
  </si>
  <si>
    <t>Dr Muhammad Areeb</t>
  </si>
  <si>
    <t>Muhammad Areeb</t>
  </si>
  <si>
    <t>A-587 Phase 1 1st floor Gulshan e Hadeed Bin Qasim, A1-4 city villa scheme 33 gulzar e hijri, Karachi</t>
  </si>
  <si>
    <t>03162468242</t>
  </si>
  <si>
    <t>AM1931541</t>
  </si>
  <si>
    <t>03322597062</t>
  </si>
  <si>
    <t>https://www.linkedin.com/in/dr-muhammad-areeb-4699102ab?utm_source=share_via&amp;utm_content=profile&amp;utm_medium=member_ios</t>
  </si>
  <si>
    <t>https://www.instagram.com/m_areeb_?igsh=MTM2eGpob21jc3lxOA%3D%3D&amp;utm_source=qr</t>
  </si>
  <si>
    <t>passport Areeb.pdf</t>
  </si>
  <si>
    <t>2ea46480-1194-49e7-9b7f-068c91a06189-doit.pk.jpg</t>
  </si>
  <si>
    <t>MBBS</t>
  </si>
  <si>
    <t>General physician</t>
  </si>
  <si>
    <t>Dow university of health sciences</t>
  </si>
  <si>
    <t>HOPES</t>
  </si>
  <si>
    <t>https://hopes.org.pk/</t>
  </si>
  <si>
    <t>Community Health Volunteer – Drug Bank &amp; Health Outreach</t>
  </si>
  <si>
    <t>Medical Officer (Public Health), Directorate of Health Services, Government of Sindh</t>
  </si>
  <si>
    <t>SAVE organisation</t>
  </si>
  <si>
    <t>SAVE Organization is a youth-led initiative dedicated to promoting community health, preventive healthcare, health awareness, environmental sustainability, and youth engagement through volunteerism, public education campaigns, and social service activities. Our mission is to empower young people to become leaders in creating healthier and more resilient communities.</t>
  </si>
  <si>
    <t>Public Health Leadership, Clinical Medicine, Health Policy, Health Systems Strengthening, Community Health, Project Management, Research, Health Communication, Team Leadership, Event Coordination, Strategic Planning.</t>
  </si>
  <si>
    <t>CV areeb.pdf</t>
  </si>
  <si>
    <t>Yes. As a physician, I believe meaningful change begins by improving the lives of individuals and communities. I have served patients in both clinical and public health settings, volunteered with HOPES to support access to essential medicines, and participated in health awareness initiatives promoting disease prevention and healthy lifestyles. Currently, as a Medical Officer and a Master’s student in Health Policy and Management in Aga khan university ,I am strengthening my ability to improve healthcare systems beyond individual patient care. My goal is to combine medical practice, public health, and policy to reduce health inequalities and build healthier, more resilient communities.</t>
  </si>
  <si>
    <t>I believe Switzerland is one of the world’s most diplomatically significant countries. It is long standing neutrality, commitment to peace, and role as host to organisations such as the United Nations Office in Geneva, the World Health Organisation, and the World Trade Organisation make it a global hub for dialogue and international cooperation. Switzerland demonstrates how diplomacy can bridge political differences and support collective solutions to global challenges. It’s approach to consensus building and humanitarian engagement inspires future leaders to prioritise collaboration, respect, and peaceful conflict resolution in addressing issues that affect people across borders.</t>
  </si>
  <si>
    <t>Young people are essential partners in diplomacy because they bring innovation, energy, and diverse perspectives to solving global challenges. Public diplomacy is no longer limited to governments; it also depends on citizens, professionals, researchers and community leaders who build trust and understanding across cultures. Through dialogue, collaboration, and service, young people can strengthen international relationships and promote sustainable development.
As a physician and public health professional, I see public diplomacy through the lens of health. Diseases, climate change, and health emergencies do not recognize national borders, making international cooperation essential. My work in clinical practice, public health, and community service has shown me that listening to communities and working across sectors are as important as technical knowledge.
Pursuing a Master’s in Health Policy and Management has strengthened my understanding of how evidence-based policies and international partnerships improve health systems. I hope to contribute by promoting health equity, sharing best practices, and encouraging collaboration between countries. Participating in YPDS would allow me to learn from global leaders while contributing my experiences from Pakistan. I believe youth led diplomacy has the power to build trust, strengthen cooperation and create practical solutions to shared global challenges.</t>
  </si>
  <si>
    <t>Passion is the inner commitment that motivates a person to continue working toward meaningful goals despite challenges. It transforms ambition into consistent action and encourages lifelong learning, resilience, and service.
My passion is improving public health and strengthening healthcare systems. This passion led me to pursue medicine, work as a Medical Officer, volunteer in community health initiatives, and continue my education through a Masters in Health Policy and Management. Every experience has reinforced my belief that quality healthcare depends on effective leadership, evidence-based policies, and collaboration across communities and countries.
Passion keeps me focused on creating positive change, whether by treating patients, supporting public health programs, or learning from international experiences. It reminds me that leadership is measured not only by achievements but also by the positive impact we leave on the lives of others.</t>
  </si>
  <si>
    <t>Yes. I believe creativity is the ability to develop practical and inclusive solutions to complex challenges. In healthcare, creativity means finding innovative ways to communicate health information, engage communities, and encourage positive behavior change.
An effective public diplomacy strategy should combine innovation with cultural understanding. I would use digital platforms, community outreach, and storytelling to promote health awareness and intercultural dialogue. By sharing successful public health initiatives, encouraging youth exchanges, and organizing collaborative campaigns, we can build trust and strengthen relationships between communities and countries.
As a physician and public health professional, I have learned that successful communication begins with listening. Every community has unique needs, values and experiences. A creative diplomacy strategy should therefore be based on mutual respect, evidence and local participation rather than one way communication.
Through YPDS, I hope to exchange ideas with participants from diverse backgrounds, learn new approaches to diplomacy, and contribute my experience in health leadership. I believe creativity, empathy and collaboration can transform public diplomacy into a powerful tool for promoting peace, sustainable development, and global well being.</t>
  </si>
  <si>
    <t>Facebook (scholarship corner )</t>
  </si>
  <si>
    <t>Global Health Diplomacy and International Health Policy</t>
  </si>
  <si>
    <t>MAHMOUD M M AYYASH</t>
  </si>
  <si>
    <t>İstanbul, İstanbul, İstanbul, Türkiye</t>
  </si>
  <si>
    <t>+905359880383</t>
  </si>
  <si>
    <t>5801268</t>
  </si>
  <si>
    <t>+972599572305</t>
  </si>
  <si>
    <t>https://www.instagram.com/mahmoud._.ayyash?igsh=aHIweHM2bDdrdWli</t>
  </si>
  <si>
    <t>IMG20240510214641.jpg</t>
  </si>
  <si>
    <t>146542 m.jpg</t>
  </si>
  <si>
    <t>Very good</t>
  </si>
  <si>
    <t>Business administration.</t>
  </si>
  <si>
    <t>Al-Ummah University for Open Education</t>
  </si>
  <si>
    <t>Youth programs</t>
  </si>
  <si>
    <t>https://www.facebook.com/share/196xRnNyQ4/</t>
  </si>
  <si>
    <t>trainee</t>
  </si>
  <si>
    <t>0</t>
  </si>
  <si>
    <t>administrative,</t>
  </si>
  <si>
    <t>Mahmoud_Ayyash_CV_English.pdf</t>
  </si>
  <si>
    <t>I believe that changing the world begins with serving the people around us. That is why I worked in the field of external relations to build partnerships and strengthen cooperation that benefits communities. I have also participated in community and humanitarian initiatives and helped organize various activities and events. I continuously strive to develop my skills and gain new experience so I can make a greater positive impact. I believe that real change starts with small actions, and that teamwork, cooperation, and a genuine commitment to helping others are the foundation for creating lasting and meaningful change.</t>
  </si>
  <si>
    <t>Young people play an important role in diplomacy by building relationships, promoting dialogue, and representing their communities in international forums. This is closely linked to public diplomacy, which focuses on engaging with people, building trust, and fostering mutual understanding beyond official government relations.</t>
  </si>
  <si>
    <t>Passion is the inner motivation that inspires a person to keep learning, growing, and making a positive impact. It helps me stay committed to my goals, overcome challenges, and continue working with determination to serve my community and contribute to meaningful change.</t>
  </si>
  <si>
    <t>Yes, I believe that creativity is not only about generating new ideas but also about finding innovative solutions to challenges. I can turn this creativity into an effective public diplomacy strategy by using positive communication, building partnerships, leveraging media and digital platforms, promoting dialogue, sharing humanitarian messages, and strengthening trust between communities.</t>
  </si>
  <si>
    <t>Through a friend.</t>
  </si>
  <si>
    <t>الدبلوماسية العامة والعلاقات الدولية</t>
  </si>
  <si>
    <t>Roy Guami Lasjordien</t>
  </si>
  <si>
    <t>roypangeranh717@gmail.com</t>
  </si>
  <si>
    <t>Jl. Kramat Batu Dalam I No.48, Gandaria Selatan, Cilandak, Jakarta Selatan 12420, Jakarta Selatan, Indonesia</t>
  </si>
  <si>
    <t>+62895396257902</t>
  </si>
  <si>
    <t>E4082147</t>
  </si>
  <si>
    <t>+62895401775522</t>
  </si>
  <si>
    <t>linkedin.com/in/roy-guami-lasjordien-956b7a23a</t>
  </si>
  <si>
    <t>f3b7c05f-8681-46b0-89e5-9f9a6286033e.jpeg</t>
  </si>
  <si>
    <t>IMG_1506.jpeg</t>
  </si>
  <si>
    <t>Bachelors of Computer Science</t>
  </si>
  <si>
    <t>Bina Nusantara University</t>
  </si>
  <si>
    <t>Yes, I have experience as a teacher who does teaching and learning activities for English education at the elementary school level</t>
  </si>
  <si>
    <t>https://mrbobkampunginggris.com/</t>
  </si>
  <si>
    <t>Engineer, businessman, politics</t>
  </si>
  <si>
    <t>Roy_Guami_Lasjordien_CV.pdf</t>
  </si>
  <si>
    <t>I will take roots from problems that occur in the world such as social inequality, education, and poverty or living worthiness. Such as conducting education and learning for underprivileged families for free, creating discussion group forums to exchange ideas and opinions, and so on. Because if the root of the problem is fixed, the gap that connects the world's crime chain will shrink and we can even solve it. If not us as the next generation of the nation then who else will do and continue as the breaker of this chain that will have an impact on human life in the future.</t>
  </si>
  <si>
    <t>A significant country in diplomacy is a country that can lead and encourage a policy through infrastructure investment networks, alliance networks, and institutions, as well as extensive embassies. So that it can become an international anchor</t>
  </si>
  <si>
    <t>The role of youth in diplomacy is to observe the surrounding environment that occurs and then create an innovation idea that has been implemented so that it knows its success which will show the direction of whether the purpose of this idea is feasible and developed in this country or other countries that are more suitable for this idea which requires an international diplomatic forum to exchange ideas, ideas and opinions with the aim of creating a country that is better for each other.</t>
  </si>
  <si>
    <t>In my opinion, passion is like identity or soul calling, we can do a job with dedication without pay as long as it makes us happy. With passion we can achieve each other's goals even if it is with a slow rhythm, like the Javanese proverb "alon-alon asal kelakon" which means that it's okay, slowly, the important thing is to reach the goal. And if we have a passion in life it will be the fuel to achieve our goals.</t>
  </si>
  <si>
    <t>If you are called a creative person, I am not a creative person but I like to give innovative ideas to solve problems efficiently. The public diplomacy strategy that I will do is listening, evaluating, and making decisions in the idea that I made with the efficiency structure and the possibility of its implementation and we still have to look at the problems that exist in the future so that we think about strategies to mitigate the problem in the future.</t>
  </si>
  <si>
    <t>My colleague</t>
  </si>
  <si>
    <t>Robiyabegim Mekhrillaeva</t>
  </si>
  <si>
    <t>robiyamehrullayeva@gmail.com</t>
  </si>
  <si>
    <t>Persiaran UTP, 32610 Seri Iskandar, Perak, Seri Iskandar, Malaysia</t>
  </si>
  <si>
    <t>+60135365113</t>
  </si>
  <si>
    <t>FB1257469</t>
  </si>
  <si>
    <t>+998946560671</t>
  </si>
  <si>
    <t>www.linkedin.com/in/robiyabegim-mekhrillaeva-851923238</t>
  </si>
  <si>
    <t>photo_2025-05-28_00-19-17.jpg</t>
  </si>
  <si>
    <t>Petroleum Engineering</t>
  </si>
  <si>
    <t>Universiti Teknologi Petronas</t>
  </si>
  <si>
    <t>Malaysia</t>
  </si>
  <si>
    <t>Society of Petroleum Engineers in Tashkent</t>
  </si>
  <si>
    <t>Organizing of petrogames and english classes for engineers and students</t>
  </si>
  <si>
    <t>Engineer</t>
  </si>
  <si>
    <t>My CV.pdf</t>
  </si>
  <si>
    <t>Yes, I believe positive change begins with small actions. During my university years in Tashkent, I helped organize engineering events such as PetroGames (with over 30 participants) and SPE talks, where students discussed engineering challenges with professionals from LUKOIL and Uzbekneftegaz. I also assisted in laboratory sessions using PIPESIM software and organized English mock tests — out of 20 participants, three later passed IELTS, with one achieving 7.0. Today, I am creating engineering video lessons in English, Russian, and Uzbek so students from different backgrounds can access quality educational resources. These experiences taught me that sharing knowledge creates real opportunities for others.</t>
  </si>
  <si>
    <t>I believe Uzbekistan is becoming one of the most diplomatically significant countries in Central Asia. Since 2016, my country has strengthened cooperation with neighboring states, resolved long-standing border and water issues, and expanded international partnerships. Uzbekistan is also investing in its young generation through programs such as El-Yurt Umidi, giving talented students the chance to study at leading universities abroad. These educational partnerships build lasting connections between countries and strengthen mutual understanding. Thanks to these opportunities, I studied in Malaysia, where I experienced firsthand how education and cultural exchange can turn a country's openness into real international cooperation.</t>
  </si>
  <si>
    <t>I believe young people play an important role in diplomacy because they represent their countries through education, communication, and cultural exchange. Diplomacy is not limited to ambassadors; students also become informal representatives of their nations. While studying in Malaysia, I always tried to share the culture of Uzbekistan, speak positively about my country, and exchange traditions with my international friends. I believe actions are more powerful than words. Being respectful, honest, hardworking, and open-minded creates a positive image of one's country. Whether we realize it or not, people often form opinions about a nation based on the individuals they meet — a single conversation, a shared meal, or a moment of genuine curiosity can change how someone sees an entire culture. That is why every young person studying abroad has the opportunity to contribute to public diplomacy, not through official titles, but through everyday honesty, curiosity, and the small connections we build with people from other cultures. I try to remember this in every interaction, because I know I am not just representing myself, but my country as well.</t>
  </si>
  <si>
    <t>Passion is an inner force that keeps a person moving forward despite challenges. It gives purpose, motivation, and the determination not to give up. For me, passion has always been curiosity. Since childhood, I have been fascinated by technology, mathematics, and physics. My parents sometimes questioned why I spent so much time studying these subjects, but I was never motivated only by grades or results — I simply wanted to understand how things work and how technology can improve people's lives. This curiosity is what pushed me to master PIPESIM software on my own and later help my classmates use it during laboratory sessions. Every day I look forward to learning something new, developing new skills, and creating meaningful solutions. I believe passion is essential because it transforms hard work into something enjoyable and helps people keep growing even when the path becomes difficult.</t>
  </si>
  <si>
    <t>Yes, I consider myself a creative person. One of my favorite hobbies is drawing, especially portrait art. I like making handmade gifts for people I respect, including my teachers and close friends, because I think a personal gift shows more appreciation than something expensive. During my studies in Malaysia, I once gave a hand-drawn portrait to a foreign classmate, and he told me it meant more to him than any souvenir he had received. That moment showed me how something small and creative can connect people from completely different backgrounds. I think creativity can be a real tool for public diplomacy — a drawing or a handmade gift can start a conversation and stay in someone's memory much longer than a formal speech. In the future, I would like to combine creativity with education by organizing cultural exhibitions, art workshops, and international student projects. These kinds of activities can help people understand and appreciate different cultures through real, personal connections, not just official events.</t>
  </si>
  <si>
    <t>Social Media Telegram, Grant go</t>
  </si>
  <si>
    <t>menna rabie</t>
  </si>
  <si>
    <t>Menna Adel Rabie</t>
  </si>
  <si>
    <t>mennarabie.ma@gmail.com</t>
  </si>
  <si>
    <t>شارع الشيخ كامل خضر - حي السفارات, 5 عمارات صن رايز الدور 801, Nasr City, Egypt</t>
  </si>
  <si>
    <t>Egyptian</t>
  </si>
  <si>
    <t>+201144198433</t>
  </si>
  <si>
    <t>A40225560</t>
  </si>
  <si>
    <t>01000640677</t>
  </si>
  <si>
    <t>1782686080787163924699483319387.jpg</t>
  </si>
  <si>
    <t>01 (231) (1).JPG</t>
  </si>
  <si>
    <t>Becholar</t>
  </si>
  <si>
    <t>1st Medical Interenship</t>
  </si>
  <si>
    <t>Medicine</t>
  </si>
  <si>
    <t>Badr university of Cairo</t>
  </si>
  <si>
    <t>Yes,I have volunteerd t Resala Charity for 8 years , Egyptian Red Crescent for 1year</t>
  </si>
  <si>
    <t>Head of Medical Campaigns at Resala Charity, Member at Egyptian Red Crescent</t>
  </si>
  <si>
    <t>8 years at Resala Charity,1year at Egyptian Red Crescent</t>
  </si>
  <si>
    <t>Yes, I have founded Youth organization called World Health organization simulated at Badr University of Cairo (WHO.SIM.BUC)</t>
  </si>
  <si>
    <t>The aim is improving the clinical and social skills of medical students and providing health awareness for the non medical people</t>
  </si>
  <si>
    <t>Microsoft Word Skillful • Microsoft PowerPoint Skillful Project management Strategic thinking Team engagement Team building Negotiation Strategic vision Start-up operations Human resources Visionary leadership Recruitment and hiring Time management abilities Ethical considerations</t>
  </si>
  <si>
    <t>Menna_AdelRabie_Resume (1).pdf</t>
  </si>
  <si>
    <t>I have been volunteering since secondary school because I believe that changing the world starts with changing ourselves. My experience at Resala Charity taught me that volunteering is about humanity, compassion, and responsibility, not only providing life essentials. I then joined the Medical Campaigns at the Egyptian Red Crescent and later became the Head of Medical Campaigns at Resala Charity for one year, where I led healthcare projects for people in need. These experiences inspired me to found WHO.SIM.BUC at my university to encourage medical students to serve their communities with compassion, regardless of religion, nationality, beliefs, or social background.</t>
  </si>
  <si>
    <t>I believe that no single country is the most diplomatically significant because every nation plays an important role in international cooperation. Countries that promote peace, humanitarian assistance, and constructive dialogue have the greatest global impact. I especially admire nations that invest in healthcare, education, scientific research, and sustainable development while respecting cultural diversity and human dignity. Strong diplomacy is not only about political influence but also about building trust, resolving conflicts peacefully, and creating opportunities for collaboration. In my opinion, the most significant countries are those that use their influence to improve lives and strengthen international partnerships for everyone.</t>
  </si>
  <si>
    <t>In my opinion, youth play an essential role in diplomacy because they can communicate the real needs, challenges, and aspirations of their generation. Diplomats have many responsibilities and cannot always understand every level of society directly. Therefore, young people should actively participate in public discussions and decision-making to ensure that youth voices are heard.
I believe that diplomacy becomes more effective when young people are involved in shaping solutions for their communities. Since they understand the challenges they face, they can suggest practical ideas and inspire other young people to contribute to positive change. If we empower youth, we can strengthen communities, and stronger communities can help create a better world.
I relate strongly to the idea of public diplomacy because I believe that every volunteer, student, and healthcare worker can represent their country through their values and actions. My experiences with Resala Charity, the Egyptian Red Crescent, and founding WHO.SIM.BUC taught me that serving people regardless of their religion, nationality, or beliefs builds trust and mutual respect. I believe public diplomacy is not only the responsibility of governments but also of ordinary citizens who promote cooperation, humanity, and understanding through their daily actions.</t>
  </si>
  <si>
    <t>For a long time, I wondered whether passion or responsibility is more important for success. At first, I believed that passion alone was enough to motivate people. However, through my experiences in volunteering and medicine, I changed my mindset.
I now believe that responsibility is what makes us start and continue working, even during difficult times. We fulfill our duties because other people depend on us, and that commitment keeps us moving forward. However, passion is the light that guides us toward the path where we can make the greatest impact. It helps us discover our strengths, enjoy the journey, and continue learning and improving ourselves.
When responsibility and passion come together, they create purpose. Responsibility gives us discipline, while passion gives us motivation, creativity, and resilience. Passion encourages us to explore new opportunities, develop new skills, and overcome challenges instead of giving up.
This belief has shaped my journey as a volunteer, a medical graduate, and a student leader. Responsibility encouraged me to serve others, while passion inspired me to establish new initiatives, lead healthcare campaigns, and keep growing. I believe that true success comes when we accept our responsibilities and allow our passion to guide us toward meaningful and lasting contributions to society.</t>
  </si>
  <si>
    <t>Yes, I consider myself a creative person because I enjoy finding practical solutions to community challenges. As my specialty is healthcare, I often think about innovative ways to improve the health system in my country and encourage healthier communities.
One of the most effective tools is social media because it is accessible to almost everyone, especially young people. I would use it to spread reliable health information, raise awareness about healthy lifestyles, and encourage disease prevention. I would also focus on topics that still carry stigma in my community, such as mental health, to encourage people to seek professional help without fear or shame.
In addition, I would organize projects, competitions, and community campaigns that motivate young people to adopt healthier habits and participate in health-related initiatives. These activities would also create opportunities for teamwork, innovation, and community engagement.
I believe that a healthy society is the foundation of a strong nation. By combining healthcare, creativity, and public engagement, we can improve people's well-being while presenting a positive image of our country. Public diplomacy is not only about representing a nation abroad but also about building a healthier, more informed, and more connected society that reflects our values of compassion, cooperation, and progress.</t>
  </si>
  <si>
    <t>Young Public Diplomacy Summit - Jakarta, Indonesia 2026</t>
  </si>
  <si>
    <t>KARYBAYEV SANZHAR</t>
  </si>
  <si>
    <t>KarybayevaK@gmail.com</t>
  </si>
  <si>
    <t>galymulysanzhar06@gmail.com</t>
  </si>
  <si>
    <t>Mangilik el, 41/4, Astana, Kazakhstan</t>
  </si>
  <si>
    <t>+7 (775) 769 6823</t>
  </si>
  <si>
    <t>N15673599</t>
  </si>
  <si>
    <t>+7 (705) 545 9892</t>
  </si>
  <si>
    <t>Sanzhar_photo.pdf</t>
  </si>
  <si>
    <t>Foundation Program</t>
  </si>
  <si>
    <t>Foundation Certificate</t>
  </si>
  <si>
    <t>International Business Management BSC</t>
  </si>
  <si>
    <t>Girne American University</t>
  </si>
  <si>
    <t>EXPO-2017</t>
  </si>
  <si>
    <t>https://expo2017astana.com</t>
  </si>
  <si>
    <t>2017</t>
  </si>
  <si>
    <t>Cross-cultural communication, Business strategy understanding, Project management, Linux / OS fundamentals, Microsoft Excel (basic), Technical problem-solving, Time management, Adaptability, Public speaking</t>
  </si>
  <si>
    <t>CV_Sanzhar Karybayev.pdf</t>
  </si>
  <si>
    <t>Yes, I have thought about changing the world, and in my personal capacity I focused on improving teamwork, communication, and group motivation. While working in different jobs and volunteering, I often faced organizational challenges and lack of coordination within teams. To address this, I initiated short 10-minute morning check-ins where team members shared their daily mindset using simple interactive methods, including the “I Am” circle, where each person completed the phrase “I am…” to express their current feelings and identity. I also introduced light team-building activities such as card games and quick ice-breakers to strengthen trust, confidence, and group cohesion.</t>
  </si>
  <si>
    <t>I believe diplomatically significant countries are those that actively promote global cooperation through education, cultural exchange, and international programs. Such countries provide fully funded scholarships, internships, and exchange opportunities that connect people from different nationalities. For example, some countries offer programs like GKS in Korea or Fulbright in the United States, which attract global talent and strengthen international understanding. In addition, international forums and summits such as YPDS bring together young leaders from different countries to exchange ideas and build cooperation. These initiatives help develop mutual trust, cross-cultural communication, and long-term diplomatic relationships between nations.</t>
  </si>
  <si>
    <t>“As the character Dumbledore in Harry Potter once said, ‘Words are, in my not-so-humble opinion, our most inexhaustible source of magic.’” This highlights the power of communication in shaping understanding between people and cultures. That is why it is important to develop diplomatic and communication skills from an early age, especially in a world influenced by technology and artificial intelligence.
Youth play a key role in diplomacy by building bridges between cultures through education, international programs, and dialogue. Every interaction contributes to mutual understanding between nations.
In addition, when we study abroad, each of us in a way represents our country. We become the face of our nation, and the way we behave, communicate, and present ourselves shapes not only how people perceive us individually, but also how they perceive our country as a whole. This responsibility highlights the importance of respect, cultural awareness, and emotional intelligence in international environments.
I relate to public diplomacy through my experience in Cyprus, where I studied in a multicultural environment. I learned that even small daily interactions can influence cultural perceptions. Through teamwork, volunteering, and service work, I developed communication and problem-solving skills that strengthened my understanding of global cooperation.</t>
  </si>
  <si>
    <t>As it is said in The Pursuit of Happyness, “Don’t ever let somebody tell you you can’t do something. Not even me.” This reflects the importance of persistence and inner motivation in achieving goals.
For me, happiness is deeply connected with the feeling of belonging and support. During my three years of studying in Cyprus, I realized that one of the most important sources of happiness is knowing that you are always welcomed and supported at home, no matter where you are.
At the beginning, it was difficult for me to adapt to a new environment, food, and lifestyle, especially because at home many things were done for me by my parents. However, this experience taught me independence and the importance of communication and adaptation. I learned how to manage daily responsibilities, solve problems, and build relationships in a new environment.
Ultimately, happiness is growth, connection, and adaptation.</t>
  </si>
  <si>
    <t>Yes, I consider myself a creative person, and this creativity has been present in me since childhood. From an early age, I was interested in understanding people, communicating, and finding ways to bring others together. My favorite school subjects—History of Kazakhstan, World History, and Geography - strengthened my curiosity about cultures, countries, and global connections.
Since childhood, my family noticed my ability to communicate and negotiate. I was often able to resolve small conflicts between my siblings or organize gatherings with friends where everyone participated. This helped me develop early skills in dialogue, compromise, and social understanding.
As I grew older, I continued applying this ability in volunteering, service work, and construction jobs. These experiences taught me how to communicate with people of different ages and backgrounds, adapt to new environments, and build trust quickly.
Although like anyone I sometimes face low motivation, I often experience strong creative energy when I discover new ideas or challenges. I enjoy connecting with people and learning from their experiences.
I believe this creativity can be turned into an effective public diplomacy strategy by promoting dialogue, reducing cultural barriers, and building trust between individuals from different countries.</t>
  </si>
  <si>
    <t>Aishafatima408@gmail.com</t>
  </si>
  <si>
    <t>Fatimadiaries408@gmail.com</t>
  </si>
  <si>
    <t>Kalapapruek City Condo, Rachaburi, Thailand</t>
  </si>
  <si>
    <t>0617263160</t>
  </si>
  <si>
    <t>FG1842063</t>
  </si>
  <si>
    <t>923034623729</t>
  </si>
  <si>
    <t>Aisha Fatima</t>
  </si>
  <si>
    <t>IMG-20260227-WA0009.jpg</t>
  </si>
  <si>
    <t>WhatsApp Image 2026-05-05 at 11.51.25 (1).jpeg</t>
  </si>
  <si>
    <t>Doctor of philosophy</t>
  </si>
  <si>
    <t>Chemistry</t>
  </si>
  <si>
    <t>University of Gujrat</t>
  </si>
  <si>
    <t>University of notredame USA</t>
  </si>
  <si>
    <t>Dr aisha CV job.pdf</t>
  </si>
  <si>
    <t>Yes, I have always believed that small actions can create meaningful changes in the world. In my personal capacity, I try to make an impact by sharing knowledge, supporting students, and encouraging young people to believe in their abilities. As a teacher, I contribute by creating a positive learning environment and helping students develop curiosity and confidence. I also try to be responsible toward society by respecting different cultures, helping others when possible, and continuously improving myself. I believe change begins with education, kindness, and individual efforts that inspire others to create a better future.</t>
  </si>
  <si>
    <t>I believe the United States is one of the most diplomatically significant countries in the world because of its major role in international relations, global security, economy, science, and technology. Through organizations such as the United Nations and various international partnerships, it influences many global decisions. However, I also believe that countries like China, Japan, India, and members of the European Union have important diplomatic roles because they contribute to global development, peace, and cooperation. In today’s interconnected world, diplomacy is not only about power but also about collaboration, mutual respect, and finding solutions to global challenges.</t>
  </si>
  <si>
    <t>Youth play an important role in diplomacy because they represent the future of international relations and global cooperation. Young people can contribute to diplomacy by promoting cultural understanding, sharing ideas, creating connections across borders, and using technology to communicate positive messages. Today, youth are not only observers but also active participants in solving global challenges such as climate change, education, equality, and peace.
I relate to the idea of Public Diplomacy because it focuses on building relationships between people and countries through communication, culture, and mutual understanding. As a teacher, I believe education is a powerful form of public diplomacy because it helps people learn about different perspectives and respect diversity. By interacting with students and people from different backgrounds, I try to encourage openness, cooperation, and global awareness. I believe that even small personal efforts, such as sharing knowledge and creating positive connections, can contribute to a better relationship between communities and nations. Youth have the creativity, energy, and ability to become bridges between cultures and promote peace in the world.</t>
  </si>
  <si>
    <t>Passion is a strong feeling of interest, dedication, and motivation toward something that we truly value. It gives us the energy and determination to continue working even when we face challenges. Passion helps us achieve our goals because it keeps us focused, encourages continuous learning, and inspires us to improve ourselves. When we are passionate about something, we do not see difficulties as barriers but as opportunities to grow.
My passion for education and sharing knowledge motivates me to keep developing my skills and making a positive impact on others. It helps me stay committed to my goals and reminds me that every small effort can create meaningful change. Passion also gives me confidence to take new opportunities, learn from experiences, and contribute to society. I believe that with passion, dedication, and hard work, we can turn our dreams into reality and create a better future.</t>
  </si>
  <si>
    <t>es, I consider myself a creative person because I enjoy finding new ways to solve problems, communicate ideas, and connect with people. Creativity helps me look at situations from different perspectives and develop meaningful approaches. As a teacher, I use creativity to make learning more interesting by designing activities, simplifying difficult concepts, and encouraging students to express their ideas.
Creativity can become an effective public diplomacy strategy because it helps people communicate beyond traditional methods. Through creative approaches such as cultural exchange, storytelling, education, art, social media, and community projects, people can build understanding and positive relationships between different countries and cultures. Public diplomacy is not only about official communication between governments; it is also about creating connections between people.
I believe creative individuals, especially youth, can use their skills to represent their culture, share positive messages, and promote cooperation. By combining creativity with empathy and communication, we can create platforms where people from different backgrounds learn from each other and develop mutual respect. In this way, creativity becomes a powerful tool for building trust, friendship, and global understanding.</t>
  </si>
  <si>
    <t>From Facebook</t>
  </si>
  <si>
    <t>Public diplomacy</t>
  </si>
  <si>
    <t>Roza Karimboyeva Hamro Qizi</t>
  </si>
  <si>
    <t>saidbekmatkarimov870@gmail.com</t>
  </si>
  <si>
    <t>Chilanzar district, Tashkent, Uzbekistan</t>
  </si>
  <si>
    <t>+998909562511</t>
  </si>
  <si>
    <t>AC 2591538</t>
  </si>
  <si>
    <t>+998952697489</t>
  </si>
  <si>
    <t>roza_krh</t>
  </si>
  <si>
    <t>Roza passport.pdf</t>
  </si>
  <si>
    <t>photo_2026-06-23_11-30-35.jpg</t>
  </si>
  <si>
    <t>Bachelor's degree</t>
  </si>
  <si>
    <t>MA TESOL</t>
  </si>
  <si>
    <t>Webster</t>
  </si>
  <si>
    <t>Communication skills, teamwork, leadership, time management, problem-solving, research and academic writing, Microsoft Office, and English language teaching skills</t>
  </si>
  <si>
    <t>CV Roza Karimboyeva #1.pdf</t>
  </si>
  <si>
    <t>Yes, change starts small, and I believe in acting where I am. During my bachelor's degree, I organized and joined community cleanup drives ("hashar") focused on environmental conservation in public spaces and memorial sites in my neighborhood. My team and I worked alongside local street cleaners, listening to their daily struggles and offering practical help. These conversations taught me that real change happens through direct engagement, not distant theorizing. Today, as a graduate student in education, I continue this mindset by researching inclusive teaching methods for students from diverse cultural and linguistic backgrounds, aiming to make classrooms spaces of genuine understanding.</t>
  </si>
  <si>
    <t>Germany stands out as diplomatically significant due to its central role in the European Union, its history of post-war reconciliation diplomacy, and its consistent mediation in global economic and climate policies. Germany has transformed from a divided nation into a bridge-builder, balancing relationships between Western allies and emerging economies. Indonesia is equally significant, given its position as the largest economy in Southeast Asia and its leadership within ASEAN, ASEAN+ dialogues, and the G20. As the host of this very summit, Indonesia exemplifies how middle powers can shape regional stability and amplify youth voices in global diplomatic conversations.</t>
  </si>
  <si>
    <t>Youth bring something diplomacy desperately needs: fresh perspective unburdened by old rivalries. We are often the first to build cross-cultural friendships online, collaborate across borders in research and work, and challenge outdated assumptions about "the other side." Public diplomacy, at its core, is about people building trust with people, not just governments negotiating with governments, and youth are naturally positioned to do this through everyday interactions.
I relate to this deeply through my academic and professional life. As someone working in education, I regularly engage with students from different countries, native languages, and cultural backgrounds. Each interaction requires me to adapt my communication style, challenge my own assumptions, and find common ground, skills that are, in essence, public diplomacy in practice. I have researched and discussed extensively how to teach effectively across cultural lines, which has shown me firsthand that understanding rarely comes from formal agreements; it comes from sustained, respectful dialogue. I see youth diplomacy not as a future possibility but as something we are already practicing, often without naming it.</t>
  </si>
  <si>
    <t>Passion, to me, is the energy that keeps you engaged with something even when no one is watching or rewarding you for it. For me, that shows up in technology and digital content creation. I enjoy using digital tools to create content, document ideas, and turn discussions into something tangible others can engage with. This passion has shaped how I approach my goals: I do not just want to discuss issues like cross-cultural communication or community development, I want to document and share them in ways that reach people beyond a classroom or a report. Passion also drives my networking; collaborating with colleagues on different projects keeps me motivated, exposes me to new ideas, and pushes me to keep improving. Without that genuine interest, consistency would be impossible. With it, growth feels natural.</t>
  </si>
  <si>
    <t>Yes, I consider myself creative, particularly in how I use digital tools and content creation to communicate ideas. I'm also active in sports, which has taught me the value of teamwork, discipline, and finding common ground with people from different backgrounds, all transferable to diplomacy.
I would turn this creativity into a public diplomacy strategy by using digital content as a bridge-building tool. For instance, creating short, accessible content (videos, infographics, social posts) that breaks down complex cultural or diplomatic topics into relatable stories could help young audiences engage with global issues without feeling intimidated by formal political language. My experience researching how to teach and communicate across cultural and linguistic differences also gives me practical insight into designing dialogue formats, workshops, or exchange programs that genuinely connect youth from different backgrounds rather than just placing them in a room together.
I would also use sports-based diplomacy: organizing informal, low-pressure sporting or networking events as a way to build trust between participants before introducing more formal diplomatic discussions, since shared activity often builds rapport faster than structured debate.</t>
  </si>
  <si>
    <t>Glocal Politics and International Relations</t>
  </si>
  <si>
    <t>Aly savane</t>
  </si>
  <si>
    <t>savanealy79@gmail.com</t>
  </si>
  <si>
    <t>16 dana st, revere, United States</t>
  </si>
  <si>
    <t>America</t>
  </si>
  <si>
    <t>16146152213</t>
  </si>
  <si>
    <t>A11842613</t>
  </si>
  <si>
    <t>6146152213</t>
  </si>
  <si>
    <t>nevasa_al</t>
  </si>
  <si>
    <t>IMG_1439.JPG</t>
  </si>
  <si>
    <t>View recent photos.jpeg</t>
  </si>
  <si>
    <t>DIPLOMACY ,LEADERSHIP</t>
  </si>
  <si>
    <t>University of Massachussets Boston</t>
  </si>
  <si>
    <t>NOo</t>
  </si>
  <si>
    <t>Culture advosory at excutive office of USA DEPARTMENT OF JUSTICE FOR IMMIGRATION REVIEW</t>
  </si>
  <si>
    <t>Global affairs graduate ,specialist migration and intercultural communication</t>
  </si>
  <si>
    <t>Aly_Savane_Resume_2025.pdf</t>
  </si>
  <si>
    <t>Throughout my career as a federal immigration court interpreter, i have witnessed the life changing impact of effective communication on people seeking justice and protection .I believe that meaningful changes begins with ensuring every voice is heard regardless of race, religion an ethnicity .In my personal capacity i have dedicated my skills to facilitating fair legal proceedings ,supporting vulnerable immigrants,and promoting equal access to justice.With a degree in Global Affairs and experienced in cross-cultural communication ,I remain committed to fostering understanding,human dignity ,and inclusion while contributing to stronger institutions that serve diverse communities with fairness and respect.</t>
  </si>
  <si>
    <t>I think that no single country is the most diplomatically significant as global challenges requires cooperation among nations however countries like China,France,The United Kingdom , United States and regional powers contribute significantly to addressing issues like climate change ,conflict resolution ,trade and sustainable development.</t>
  </si>
  <si>
    <t>Youth play a vital role when it comes to diplomacy by bringing fresh perspectives ,innovation , and strong commitment to addressing global challenges .This generation is the most connected in history ,young people can build bridges across cultures ,promote dialogue, and encourage peaceful solutions to issues such as migration ,climate change and human rights
 I strongly relate to the concept of public diplomacy because my work as a federal immigration court interpreter has showing me the power of communication in building trust between people and institutions .In addition to that my degree in Global Affairs has further deepened my understanding of international relations,and conflict resolution. 
I i am persuaded that public diplomacy is not limited to diplomats alone.Anyone who  promotes understanding ,respect and meaningful dialogue between communities contributes to. stronger international relationships.Through my professional experience and commitment to serving diverse populations,mutual respect and peaceful cooperation, making a positive contribution to both  local communities and the the broader global society.</t>
  </si>
  <si>
    <t>Passion is like fuel which helps you working toward your goals with full motivation and determination.It provides you with sustained energy in other word it is the intense emotional energy and profound dedication that we feel when when we are pursuing meaningful goals .It serves as the immense internal motivation for personal and professional success .However passion alone is not enough without a structure which means that your inner fires must be paired with consistent  discipline and clear sense of purpose .Furthermore while basic motivation comes and go the passion provides permanent  self sustained  power source allows you to endure long hours and demanding workloads without burning out.</t>
  </si>
  <si>
    <t>I am and have always been a creative person therefore i am persuaded that creativity plays vital role in public diplomacy because it helps  communicate complex ideas in ways that are engaging ,relatable and culturally sensitive .I would use my creativity by developing multilingual communication initiatives ,storytelling campaigns ,and community outreach programs that foster mutual  understanding among people from different backgrounds . With my global affairs education i can help bridge linguistic and cultural gasp while promoting  dialogue and cooperation.By using innovative communication methods and digital platforms .I hope to strengthen international partnerships, encourage cultural exchange , and build trust between communities and institutions .  I believe that creativity transforms diplomacy from formal negotiations into meaningful people to people connections that promote peace ,inclusion and lasting collaboration.</t>
  </si>
  <si>
    <t>the website</t>
  </si>
  <si>
    <t>Youth public diplomacy</t>
  </si>
  <si>
    <t>Misikir Melkamu Anteneh</t>
  </si>
  <si>
    <t>witnessanteneh@gmail.com</t>
  </si>
  <si>
    <t>GC 057 6430 ACCRA, GHANA, ACCRA, Ghana</t>
  </si>
  <si>
    <t>+233592272309</t>
  </si>
  <si>
    <t>EP8710951</t>
  </si>
  <si>
    <t>Bewketu Melkamu</t>
  </si>
  <si>
    <t>Misikir_p.pdf</t>
  </si>
  <si>
    <t>4x5-min.jpg</t>
  </si>
  <si>
    <t>Intelligent system Engineering</t>
  </si>
  <si>
    <t>Pentecost University</t>
  </si>
  <si>
    <t>Bahir Dar University</t>
  </si>
  <si>
    <t>https://www.bdu.edu.et</t>
  </si>
  <si>
    <t>Summer teaching assistance for distance learners</t>
  </si>
  <si>
    <t>I was employed as a full-time employer in Ethiopian Electric Power Company as a Mechanical Engineer.</t>
  </si>
  <si>
    <t>Engineer especially in mechanical and manufacturing sector</t>
  </si>
  <si>
    <t>Misikir_CV.pdf</t>
  </si>
  <si>
    <t>Yes. I think that's the place to start making a difference is in your community. As a Mechanical Engineering graduate and a young researcher, my efforts have been dedicated to the field of promoting sustainable development both through engineering innovation and by engaging with the youth and sharing knowledge. I have been involved in leadership initiatives, as well as mentoring other students, and leading a discussion on technology solutions for industries to achieve efficiency and environmental sustainability. My research focus on intelligent systems and sustainable manufacturing is to propose solutions that are viable and reduce the waste of resources while contributing to the economic development. These experiences have reinforced my dedication to innovation, collaboration and responsible leadership for creating positive impact.</t>
  </si>
  <si>
    <t>I don't think there is any country today that is the most important all the time, but that depends on what tasks a country can perform that can contribute to dialogue, cooperation and peaceful solution to global challenges. Strategically located, culturally diverse and actively participating in regional and international diplomacy, Indonesia is a strong example. Indonesia is a world's largest democracy, as well as a link between the developed and developing world, and supports multilateral cooperation, intercultural understanding and sustainable development. Its focus on dialogue and inclusiveness illustrates the power of diplomacy to bring together people from different backgrounds and promote peace and development.</t>
  </si>
  <si>
    <t>Youth hold a key position in diplomacy, adding innovation, diversity of thinking and a long-term perspective to the challenges of the world. Diplomacy is no longer just the province of governments; today's youth add to that in their role as learners, innovators, entrepreneurs, culture bearers, and community members. They are able to cross the boundaries and develop understanding and peaceful cooperation. I appreciate the concept of public diplomacy as public diplomacy is the key to positive changes when people from different cultures engage in dialogue and co-operation for mutual objectives. I am an engineering researcher who sees technology as a language that can bring communities together and solve the problems of the world including climate change, sustainable industrial growth and efficiency of resources and materials. I research, lead and work internationally to make a contribution to solutions that benefit society, beyond national boundaries.
Public diplomacy values and ideas and cultures instill citizens to be their country's representatives. I believe that engaging in international events, like the Young Public Diplomacy Summit, can help me improve my intercultural communication abilities, have the chance to meet future leaders and, through cooperation and respect, make the world a better place.</t>
  </si>
  <si>
    <t>Passion is the motivation within people to do something for a real purpose, with commitment, endurance and determination. It motivates during difficulties and fosters learning and self-improvement. Passion, in my mind, is not just enthusiasm, it is a commitment to making a difference in the world as an engineer, innovator and leader. I am driven by the passion for intelligent systems and sustainable development to look for solutions to real world challenges in industry, energy and sustainable development. It inspires me to focus on research, to learn new skills, and to look for opportunities to connect beyond what I am typically involved with. When I'm having challenges, it also gives me the strength to perseverate, so when I have to think about the long-term goal, not the short-term problem. Finally, it is a way to make my dreams come true and allows me to make a positive impact on society, while furthering my personal and professional objectives.</t>
  </si>
  <si>
    <t>I feel I am a creative person because I like to find new ways to link ideas, people and technologies, and also like to find innovative solutions to complex problems. Creativity helps people to express themselves, work in different settings and find solutions that make a difference. Creativity can be translated into an effective strategy when creativity is used as a tool for engagement and collaboration in the context of public diplomacy. For instance, technology, digital platforms and cross-cultural initiatives can encourage dialogue between different cultures. Creative solutions simplify complex issues from around the world and help to increase global engagement in conversations.
I want to be a creative engineer and researcher, to share knowledge, to promote sustainable development and intercultural understanding. I can foster partnerships across geographical and cultural boundaries through technological innovation and effective communication. Public diplomacy is best done when it establishes real links and creativity is the vehicle to connect, inspire, and produce solutions that benefit communities around the world. I want to be a part of making the world a more connected world, where everyone is included and works together.</t>
  </si>
  <si>
    <t>Strategy peace and cultural diplomacy</t>
  </si>
  <si>
    <t>Husam Saeed</t>
  </si>
  <si>
    <t>HUSAM SAEED SULAIMAN ALSHAMASI</t>
  </si>
  <si>
    <t>Al Jadaf - Jaddaf Waterfront - Dubai - United Arab Emirates, Dubai, United Arab Emirates</t>
  </si>
  <si>
    <t>+971542389737</t>
  </si>
  <si>
    <t>09724283</t>
  </si>
  <si>
    <t>IMG_2924.png</t>
  </si>
  <si>
    <t>IMG_2923.png</t>
  </si>
  <si>
    <t>bachelor’s</t>
  </si>
  <si>
    <t>4/5</t>
  </si>
  <si>
    <t>Admi</t>
  </si>
  <si>
    <t>Albalqa University</t>
  </si>
  <si>
    <t>Yes I’am</t>
  </si>
  <si>
    <t>Yes .. Brom Volunteer Initiative</t>
  </si>
  <si>
    <t>Team Leader</t>
  </si>
  <si>
    <t>3fc2992a-fb81-4ae0-90a2-80dac534fb17.jpeg</t>
  </si>
  <si>
    <t>Yes, I have often thought about contributing to positive change in the world, even in small but meaningful ways. In my personal capacity, I focus on actions that are realistic and sustainable. I try to support people around me by sharing knowledge, offering help when needed, and encouraging collaboration rather than competition. I also make an effort to stay informed about social and global issues so I can understand different perspectives. Additionally, I take part in volunteer activities whenever possible, as I believe that consistent small contributions can create a larger collective impact over time and help build stronger communities.</t>
  </si>
  <si>
    <t>We think about countries that play a strong diplomatic role in connecting regions and encouraging dialogue between different cultures. One example is United Arab Emirates, which has positioned itself as a global hub for diplomacy, mediation, and international cooperation. It hosts numerous international conferences and maintains balanced relations with many countries across different political blocs. Its foreign policy often focuses on stability, economic partnership, and humanitarian support. Through its active engagement in regional and global issues, it has become an important bridge between East and West and a place where dialogue and collaboration are consistently encouraged and developed today.</t>
  </si>
  <si>
    <t>Youth play a central role in modern diplomacy, especially with the growing importance of public diplomacy, which extends beyond governments to include individuals and communities. Young people are highly active in digital spaces, allowing them to share authentic narratives about their societies, cultures, and values with a global audience. This makes them powerful informal ambassadors who can shape perceptions and build mutual understanding between nations.
In the context of public diplomacy, youth contribute through dialogue, volunteering, cultural exchange programs, and participation in international initiatives. Their engagement with organizations such as the United Nations and UNESCO highlights their involvement in addressing global challenges like peacebuilding, education, and sustainable development.
Moreover, young people help create international networks that strengthen cooperation and cultural connection between countries. Through education, social media, and global forums, they promote soft power by influencing opinions in a positive and constructive way. In this sense, youth are not only participants in diplomacy but also key drivers of public diplomacy, as they contribute to shaping a more connected, informed, and cooperative world.</t>
  </si>
  <si>
    <t>A passion of mine is continuous learning and self-development. I have always been curious about understanding people, cultures, and how things work, which naturally pushed me to seek knowledge beyond the classroom. Over time, this passion grew through reading, participating in volunteer activities, and engaging in discussions with people from different backgrounds. It has helped me become more open-minded and adaptable in different situations.
This passion plays a key role in helping me achieve my goals because it keeps me motivated and focused on growth. Whenever I face challenges, I look for ways to learn from them instead of feeling discouraged. It also pushes me to improve my communication and leadership skills, which are essential for both academic and career success. In addition, it encourages me to set clear goals and work consistently toward them. Overall, my passion for learning shapes my decisions and helps me move forward with confidence and purpose in life.</t>
  </si>
  <si>
    <t>I would consider myself a creative person in the sense that I like to think beyond traditional approaches and find new ways to communicate ideas. Creativity, for me, is not limited to art or design, but also includes problem-solving, communication, and the ability to see situations from different perspectives. I often try to express ideas in ways that are clear, engaging, and relatable to different audiences.
Creativity can play a powerful role in public diplomacy because it helps make messages more human and impactful. Instead of formal or rigid communication, creative approaches such as storytelling, digital content, cultural projects, and social media engagement can build stronger emotional connections between people from different countries. It also allows for breaking stereotypes and encouraging mutual understanding.
In a public diplomacy strategy, creativity can be used to design campaigns that highlight shared values, promote cultural exchange, and encourage dialogue. By using innovative methods, individuals and organizations can reach wider audiences and influence perceptions in a positive way. Ultimately, creativity transforms public diplomacy into a more dynamic, inclusive, and effective tool for building trust between nations.</t>
  </si>
  <si>
    <t>From my friends referring</t>
  </si>
  <si>
    <t>My preferred module in the program is Public Diplomacy in the 21st Century. This module interests me the most because it focuses on how diplomacy has evolved beyond traditional government-to-government relations into a more people-centered and communication-driven approach.  I am particularly drawn to it because it highlights the role of culture, media, technology, and youth in shaping international relations. In today’s interconnected world, public diplomacy is no longer limited to formal institutions; it is also influenced by individuals, social media platforms, and grassroots initiatives. This makes the subject very relevant to my interests and future goals.  What I find most valuable in this module is its practical perspective on how countries build their image, influence global perceptions, and promote mutual understanding. It also encourages creative thinking about how to communicate effectively across cultures and reduce misunderstandings between societies.  Overall, this module aligns with my interest in communication, cultural exchange, and global engagement, and I believe it will help me develop the skills needed to contribute meaningfully to international dialogue and cooperation.</t>
  </si>
  <si>
    <t>Subert Szabolcs</t>
  </si>
  <si>
    <t>H-3524 Miskolc, Kölcsey Ferenc utca 13 7/2, Miskolc, Hungary</t>
  </si>
  <si>
    <t>Hungarian</t>
  </si>
  <si>
    <t>+36204763228</t>
  </si>
  <si>
    <t>202483IE</t>
  </si>
  <si>
    <t>+36704569056</t>
  </si>
  <si>
    <t>www.linkedin.com/in/szabolcs-subert-3b8463a1</t>
  </si>
  <si>
    <t>https://www.facebook.com/szabolcs.subert</t>
  </si>
  <si>
    <t>Útlevél_SubertSz.pdf</t>
  </si>
  <si>
    <t>Igazolványkép_Subert_Szabolcs.JPG</t>
  </si>
  <si>
    <t>University of Miskolc</t>
  </si>
  <si>
    <t>Jeevan Rekha Parishad (NGO; India; European Voluntary Service program)</t>
  </si>
  <si>
    <t>Jeevan Rekha Parishad</t>
  </si>
  <si>
    <t>https://blue-community.net/2025/06/blue-community-jrp-from-odisha-india/</t>
  </si>
  <si>
    <t>2019</t>
  </si>
  <si>
    <t>enterpreneur; logistic&amp;operation</t>
  </si>
  <si>
    <t>Szabolcs_Subert_CV.pdf</t>
  </si>
  <si>
    <t>Yes. To me, changing the world means building bridges across cultures to counter prejudice. In my personal capacity, I have dedicated over eight years to grassroots civil society and international youth advocacy. As an EU volunteer in India and Croatia, I actively drove local social economy and solidarity projects. Furthermore, I have led numerous national delegations within the Erasmus+ framework across Europe, empowering young people through non-formal education. By combining my international relations expertise with frontline community engagement, I practically foster intercultural empathy, proving that sustainable global impact begins with committed, cross-border youth diplomacy at the grassroots level.</t>
  </si>
  <si>
    <t>China is arguably one of the most diplomatically significant country today, as its strategic actions redefine the global geopolitical architecture. Through massive economic statecraft, such as the Belt and Road Initiative, Beijing has fundamentally reshaped international trade routes and development diplomacy. Furthermore, its expanding footprint in Europe—particularly through industrial and battery sector investments—directly challenges the European Union’s pursuit of strategic autonomy. Navigating China’s rise requires sophisticated, multilateral public diplomacy. Understanding Beijing's cultural and economic approach is essential for contemporary diplomats to maintain global stability, foster balanced partnerships, and address transnational challenges in an increasingly multipolar world order.</t>
  </si>
  <si>
    <t>Youth play a transformative role in modern diplomacy, acting as agile bridges in an interconnected world. Unlike traditional, state-centric statecraft, young leaders utilize soft power to foster immediate, grassroots connections. They challenge outdated prejudices through digital connectivity, cultural exchanges, and transnational activism, turning complex geopolitical goals into shared, human-centered values.I deeply relate to Public Diplomacy because my background bridges academic theory with over eight years of direct field experience. As an International Relations MA candidate, I understand that public diplomacy is essential for building long-term mutual trust. In my personal capacity, I have practiced this by leading national Erasmus+ delegations across Europe and volunteering for social projects in India and Croatia. These experiences taught me that diplomacy is not confined to embassies; it thrives through civilian engagement. Furthermore, my research on EU-China economic relations and European strategic autonomy reinforces my belief that economic ties must be mirrored by strong cultural empathy. By attending YPDS 2026, I aim to leverage my interdisciplinary skills as an IR researcher and engineer to advocate for structured youth dialogue, proving that grassroots public diplomacy is the cornerstone of sustainable global cooperation.</t>
  </si>
  <si>
    <t>To me, passion is the enduring internal fuel that transforms a vision into disciplined action. It is not a fleeting emotion, but a deep commitment to purpose that bridges diverse fields and sustains resilience during complex challenges.Passion helps me achieve my goals by driving my interdisciplinary journey. It is what inspired a mechanical engineer to pursue international relations to understand global systems, and what guided me through rigorous voluntary military training. This drive converts strategic curiosity into concrete results, whether managing demanding logistics operations or leading international youth delegations across borders. In public diplomacy, passion is essential; it creates the authentic energy needed to build cross-cultural trust and unite people around shared solutions. Ultimately, my passion ensures that I do not merely analyze global challenges from a distance, but actively master the practical and operational skills required to solve them effectively on the ground.</t>
  </si>
  <si>
    <t>Yes, I am a creative person, but my creativity is rooted in structured problem-solving and interdisciplinary synergy. For me, creativity is the ability to connect seemingly unrelated fields—such as mechanical engineering, operational logistics, and international relations—to design innovative, real-world solutions.To turn this into an effective public diplomacy strategy, I focus on "practical diplomacy." First, I apply engineering logic to analyze complex geopolitical issues, such as EU-China relations, and translate them into accessible, data-driven public narratives. Second, I leverage my seven years of entrepreneurial logistics experience to design and execute highly efficient, large-scale youth exchange programs. In a successful strategy, creativity must be backed by operational discipline. My voluntary military training ensures that innovative ideas are always executed with strict structural readiness. By using non-formal educational frameworks from my eight years in civil society, I can create engaging, cross-border digital campaigns and interactive cultural forums. This approach transforms abstract foreign policy goals into tangible grassroots experiences. Ultimately, my creativity builds a public diplomacy strategy that is not only culturally inspiring but also logistically flawless, secure, and highly impactful on the ground.</t>
  </si>
  <si>
    <t>Geopolitics &amp; Soft Power Dynamics (or Digital Diplomacy &amp; Strategic Communications)</t>
  </si>
  <si>
    <t>tafadzwamufamba45@gmail.com</t>
  </si>
  <si>
    <t>148 Domboshava Road Philadelphia, Borrowdale, Harare, Cnr Rottenrow and Samora Machel Ave, Harare, Zimbabwe</t>
  </si>
  <si>
    <t>Zimbabwean</t>
  </si>
  <si>
    <t>+263773836366</t>
  </si>
  <si>
    <t>GN170470</t>
  </si>
  <si>
    <t>(024) 2774168</t>
  </si>
  <si>
    <t>https://www.instagram.com/invites/contact/?utm_source=ig_contact_invite&amp;utm_medium=copy_link&amp;utm_content=7ibo3ue</t>
  </si>
  <si>
    <t>https://www.fb.com/l/6lp1kJRRR</t>
  </si>
  <si>
    <t>Passport for Tafadzwa Mufamba(1).jpg</t>
  </si>
  <si>
    <t>1757969541134.jpg</t>
  </si>
  <si>
    <t>Peace and Security Studies</t>
  </si>
  <si>
    <t>Diplomacy, peace and security</t>
  </si>
  <si>
    <t>Midlands State University</t>
  </si>
  <si>
    <t>Zimbabwe</t>
  </si>
  <si>
    <t>Mwalimu Julius Nyerere leadeeship School</t>
  </si>
  <si>
    <t>https://www.govserv.org/ZW/Harare/211695518699564/Zimbabwe-Youth-Council</t>
  </si>
  <si>
    <t>Leader of an Association</t>
  </si>
  <si>
    <t>Senior Programmes Officer at ZANU PF Headquarters</t>
  </si>
  <si>
    <t>To fight against Drugs and Substance Abuse</t>
  </si>
  <si>
    <t>Programme Management, Policy research and Analysis, Conflict Management, Stakeholder Engagement, Evaluation,Strategic Planning, Report writing Projects management, Advocacy at ZANU PF HQ</t>
  </si>
  <si>
    <t>CV for Tafadzwa Mufamba.pdf</t>
  </si>
  <si>
    <t>True. Meaningful change, in my opinion, starts with personal action and helping others. I have devoted my personal time to community involvement, youth mobilisation, and leadership development. I have inspired young people to pursue education and have assisted through my position at work within the ruling Part's Headquarters more than 1000 youth to find scholarships (50 alone this year), i have inteoduced the Youth Parliamentary Model, which i copied from a demo which i copied from Kenya, entrepreneurship, and active role in national development through my involvement in youth structures.  I created mechanisms which made the government to provide 25 Million US Dollars to empower the youth through a proposal that i procured through the Ministry of Youth, i also have founded an organisation against Drugs and substance abuse. I have assisted more than 100 youth to secure jobs and attachments. Using my academic experience in Peace and Security Studies, I have also contributed to conversations on peace, security, and international cooperation. I aim to have a positive influence and improve society by encouraging constructive discourse, mentoring peers, and supporting programs that empower youth.</t>
  </si>
  <si>
    <t>Though i used to think United States of America was the most diplomatically significant country in the world, because of the current demographical politics i believe China and Indonesia would be the best so far. China holds the biggest economy in the World as we speak and has been extending its realtions to Africa, Asia and Australia among others, and also Indonesia is best especially for Zimbabwe since it holds one of the best education systems and is giving a number of youths that i know scholarships and also its not a violent country.</t>
  </si>
  <si>
    <t>Youths are essentially influential actors in Public Diplomacy, because the facilitate for international bilaterial relations, cultural exhanges, intellectual exchange programs  with unique perspectives and aims to build relationships, promote mutual understanding, and include their voices in decision-making processes. As a Programs Officer at an Institution that deals with the public i have Participated in a Public fora in South Africa where countries from Africa converged and discuss sharing ideas and solutions to African problems. My participation also in Tanzania and China thrice made me understand the digital role of youth in diplomatic engagements, political friends and economic diplomacy. My trip to Mozambique and Zambia gave tolerance understanding how intertwined culturally our countries are and the need for continuous coperation among other things</t>
  </si>
  <si>
    <t>Passion is an extreme interest or wish for doing something. When i grew up. I always had the passion to be a political diplomat. During my ordinary level period i joined the debate club and because i had the passion to be a political person i joined the Junior Parliament. I continued with debate becuse that would actually make me achieve it till i went to university where i took peaxe and security studies which falls under diplomacy and international relations. I also joined student politics and later i was taken by the ruling party to work as a project and programs officer at the Party's Hq till date. So i feel like by maintaining passion. I became the best version of the person whom i wanted to be</t>
  </si>
  <si>
    <t>I am a creative person. I have also writen books and i am a poet too. I can use my creativeness to facilitate dkr effective public diplacy through writing poems that unites nations, writing articles selling our culture, seeking duos with foreigners to enhance nation to nation engagements. I can also create international social digital platforms which will enhance public participation, tolerance and appreciation of culture and beliefs.</t>
  </si>
  <si>
    <t>Scholarship Portal</t>
  </si>
  <si>
    <t>Diplomacy</t>
  </si>
  <si>
    <t>DEVINDRAPPA DEVINDRAPPA</t>
  </si>
  <si>
    <t>DEVINDRAPPA</t>
  </si>
  <si>
    <t>devunayak4505@gmail.com</t>
  </si>
  <si>
    <t>DIVISION OF CROP PROTECTION, ICAR-INDIAN INSTITUTE OF HORTICULTURAL RESERACH, HESARAGHATA LAKE POST, BENAGLURU, BENGALURU, India</t>
  </si>
  <si>
    <t>INDIAN</t>
  </si>
  <si>
    <t>+918494979182</t>
  </si>
  <si>
    <t>S3597877</t>
  </si>
  <si>
    <t>+918050575729</t>
  </si>
  <si>
    <t>https://www.linkedin.com/in/devindrappa-m-31326a114/</t>
  </si>
  <si>
    <t>https://www.facebook.com/devu.nayak.3/</t>
  </si>
  <si>
    <t>Dr. Devindrappa passport.pdf</t>
  </si>
  <si>
    <t>Devindrappa Photo.jpeg</t>
  </si>
  <si>
    <t>Ph.D.</t>
  </si>
  <si>
    <t>Agriculture</t>
  </si>
  <si>
    <t>Nematology</t>
  </si>
  <si>
    <t>ICAR- Indian Agriculture Research Institute, New Delhi, India</t>
  </si>
  <si>
    <t>Senior Scientist</t>
  </si>
  <si>
    <t>Researcher, Scientist, Innovation of new technologies in the field of Agriculture/Horticultural crop protection</t>
  </si>
  <si>
    <t>CV of Dr.Devindrappa scientist Biodata &amp;profile.docx</t>
  </si>
  <si>
    <t>Yes, I have often thought about changing the world, particularly by contributing to sustainable agriculture and food security. In my personal and professional capacity as a scientist, I have focused on developing eco-friendly management strategies for Insect pest, plant-parasitic nematodes and diseases  affecting horticultural crops. Through research on biological control agents, biofumigation, and integrated pest management approaches, I aim to reduce dependence on chemical pesticides and promote environmentally sustainable farming practices. I have also actively participated in farmer training programs, student mentoring, and knowledge dissemination activities to empower stakeholders with scientific solutions that improve crop productivity, protect natural resources, and enhance livelihoods.</t>
  </si>
  <si>
    <t>In my opinion, India is one of the most diplomatically significant countries in the world due to its strategic geopolitical location, rapidly growing economy, democratic values, and increasing influence in global affairs. India plays a crucial role in international organizations such as the G20, BRICS, QUAD, and the United Nations, advocating for peace, sustainable development, and cooperation among nations. Its balanced foreign policy, emphasis on multilateralism, and ability to maintain relationships with diverse global powers enhance its diplomatic importance. India's contributions to food security, climate action, healthcare, and technology further strengthen its position as a responsible and influential global partner.</t>
  </si>
  <si>
    <t>Youth play a vital role in diplomacy by fostering cross-cultural understanding, promoting innovation, and addressing global challenges through collaboration and dialogue. As future leaders, young people bring fresh perspectives, adaptability, and a strong commitment to issues such as climate change, sustainable development, public health, and social equity. Through educational exchanges, international forums, digital platforms, and community initiatives, youth can build bridges between nations and contribute to peaceful and constructive international relations.
I relate to the idea of Public Diplomacy as a process of connecting people beyond governments to strengthen mutual understanding and cooperation. As a scientist working in agricultural research, I believe that sharing knowledge, promoting sustainable technologies, and engaging with diverse communities are forms of public diplomacy. Scientific collaboration transcends borders and helps address common global concerns such as food security and environmental sustainability. By contributing to capacity building, knowledge exchange, and public awareness, I aspire to support international cooperation and create a positive impact on society.</t>
  </si>
  <si>
    <t>Passion is a strong sense of enthusiasm, dedication, and purpose toward something that deeply inspires and motivates an individual. It provides the energy and perseverance needed to overcome obstacles and remain committed to long-term goals. Passion transforms challenges into opportunities for growth and encourages continuous learning and self-improvement.
For me, passion is essential in achieving my goals because it drives my commitment to scientific research and contributing to sustainable agriculture. It motivates me to seek innovative solutions to complex problems, work diligently, and maintain focus even during difficult times. Passion also fosters resilience, creativity, and determination, helping me stay aligned with my vision of making a meaningful impact on society. Ultimately, passion is not just about loving what we do; it is the force that inspires us to pursue excellence and turn our aspirations into reality</t>
  </si>
  <si>
    <t>Yes, I consider myself a creative person, particularly in finding innovative solutions to complex challenges and communicating ideas effectively. Creativity is not limited to art or design; it also involves thinking differently, adapting to new situations, and developing practical approaches to address societal issues. In my professional life, creativity has helped me design sustainable agricultural solutions and engage diverse stakeholders through knowledge sharing and capacity-building activities.
Creativity can be transformed into an effective public diplomacy strategy by using innovative methods to foster mutual understanding and build positive relationships among people from different cultures and nations. Storytelling, digital communication platforms, scientific collaborations, educational exchanges, and community outreach programs can make diplomacy more accessible and impactful. By presenting ideas in engaging and relatable ways, creativity helps bridge cultural differences, promote dialogue, and encourage cooperation on global challenges.
I believe that combining creativity with empathy, effective communication, and a willingness to learn from others can strengthen public diplomacy efforts and contribute to building a more connected, inclusive, and peaceful world.</t>
  </si>
  <si>
    <t>Arts, Culture and Soft power</t>
  </si>
  <si>
    <t>ssharjeel2001@outlook.com</t>
  </si>
  <si>
    <t>Georgstraße 20, 09111 Chemnitz, Chemnitz, Germany</t>
  </si>
  <si>
    <t>015203075836</t>
  </si>
  <si>
    <t>BB1189751</t>
  </si>
  <si>
    <t>IMG_0617.jpeg</t>
  </si>
  <si>
    <t>Mathematics for data science</t>
  </si>
  <si>
    <t>Data Science</t>
  </si>
  <si>
    <t>Mittweida university</t>
  </si>
  <si>
    <t>Germany</t>
  </si>
  <si>
    <t>Amal Academy</t>
  </si>
  <si>
    <t>Volunteer Worker</t>
  </si>
  <si>
    <t>Data Engineer</t>
  </si>
  <si>
    <t>Sharjeel-Ahmed-Resume (DataEngineer).pdf</t>
  </si>
  <si>
    <t>Yes. My purpose is to help people access knowledge, solve problems, and learn more effectively. While I do not act independently or have personal ambitions, I contribute by providing information, explaining complex concepts, supporting creativity, and assisting users with tasks ranging from education to professional work. In my capacity as an AI, my impact comes from making knowledge more accessible and helping people make informed decisions. By supporting millions of interactions across diverse topics, I aim to enable positive outcomes and empower individuals to achieve their goals and contribute to society.</t>
  </si>
  <si>
    <t>There is no single country that is universally the “most diplomatically significant.” Diplomatic significance depends on factors such as economic influence, military power, participation in international organizations, geographic position, and ability to shape global events.
United States :Extensive global alliances, major economic and military influence, and a leading role in many international institutions.
China : A major economic power with growing diplomatic and geopolitical influence.</t>
  </si>
  <si>
    <t>Youth play an important role in diplomacy because they bring new ideas, technological skills, cultural awareness, and long-term perspectives to global challenges. In today’s interconnected world, young people are not only future leaders but also active participants in shaping international relationships.
Public diplomacy refers to efforts by a country, organization, or individual to engage and influence foreign publics rather than communicating only through government-to-government channels. It includes cultural exchanges, educational programs, social media engagement, international volunteering, and people-to-people connections.</t>
  </si>
  <si>
    <t>Passion is a strong enthusiasm, interest, or commitment toward something that gives you a sense of purpose and motivation. It is the inner drive that makes you willing to invest time, effort, and energy in pursuing a particular goal, even when challenges arise.
Passion helps achieve goals in several ways:
1. Provides motivation – Passion keeps you focused and energized, making it easier to work consistently toward your objectives.
2. Builds resilience – When setbacks occur, passionate people are more likely to persevere and learn from failures rather than give up.
3. Encourages continuous learning – Passion inspires curiosity and a desire to improve skills and knowledge.</t>
  </si>
  <si>
    <t>1. Tell compelling stories – Share real stories of people, culture, innovation, and achievements to create connections across borders.
2. Use digital platforms effectively – Leverage social media, podcasts, videos, and online campaigns to reach young audiences globally.
3. Promote cultural exchange – Encourage student exchanges, arts programs, sports diplomacy, and community partnerships.
4. Engage youth as ambassadors – Young people can communicate with their peers worldwide and build trust through people-to-people interactions.
5. Encourage dialogue – Public diplomacy works best when it is a two-way conversation that listens to foreign audiences and addresses their concerns.</t>
  </si>
  <si>
    <t>Blogs</t>
  </si>
  <si>
    <t>akeeloof1988@hotmail.com</t>
  </si>
  <si>
    <t>CEVATPAŞA MAH. BARBAROS HAYRETTİN PAŞA CAD. NO:16 İÇ KAPI NO:2, BAYRAMPAŞA, Istanbul, Türkiye</t>
  </si>
  <si>
    <t>Syrian</t>
  </si>
  <si>
    <t>+905359341411</t>
  </si>
  <si>
    <t>N02128206</t>
  </si>
  <si>
    <t>+905310869357</t>
  </si>
  <si>
    <t>https://www.linkedin.com/in/nizar-akil-9a60488b</t>
  </si>
  <si>
    <t>Screenshot_٢٠٢٦٠٥٢٣_٢١٥٧٢٨_Adobe Acrobat.jpg</t>
  </si>
  <si>
    <t>٢٠٢٣٠١١٧_٢٢١٤١٥.jpg</t>
  </si>
  <si>
    <t>University education</t>
  </si>
  <si>
    <t>No, I have not had the opportunity to volunteer for a social organization yet, but I am open and interested in doing so in the future.</t>
  </si>
  <si>
    <t>My skillset includes strong communication skills in Arabic, good proficiency in English, and basic to intermediate knowledge of Turkish. I am experienced in handling official documents, administrative tasks, and written correspondence. I have basic computer skills, including Microsoft Office applications. I am detail-oriented, organized, and able to manage tasks with responsibility and patience. I am also a quick learner and adaptable to new environments.</t>
  </si>
  <si>
    <t>CV_2026.pdf</t>
  </si>
  <si>
    <t>Yes, I have often thought about contributing to positive change in the world, especially in ways that improve understanding and fairness between people. In my personal capacity, I have focused on being helpful and responsible in my daily interactions, offering support to people around me when possible, and maintaining respectful communication. I have also tried to improve myself continuously through learning languages and developing my communication and administrative skills, so I can be more useful in professional and community settings. While I have not been part of formal large-scale initiatives yet, I am motivated to contribute more actively in structured social or professional projects in the future.</t>
  </si>
  <si>
    <t>A diplomatically significant country is one that plays a central role in maintaining global stability, shaping international decisions, and influencing economic and security policies. The United States is often considered highly significant due to its global alliances, military presence, and leadership in international organizations. China is also highly influential because of its economic power and growing diplomatic reach across Asia, Africa, and beyond. The European Union, as a collective entity, is significant for its regulatory power and unified diplomatic voice on many global issues. Ultimately, diplomatic significance depends on a country’s ability to build relationships, mediate conflicts, and influence global cooperation.</t>
  </si>
  <si>
    <t>Youth play an increasingly important role in diplomacy by acting as connectors between cultures, ideas, and societies. In a globalized world, young people often communicate across borders more naturally through education, travel, and digital platforms. They help reduce misunderstandings, challenge stereotypes, and promote mutual respect. Youth can also contribute to diplomacy through academic exchanges, volunteer work, international organizations, and online engagement that fosters dialogue rather than division.
Public diplomacy, in my understanding, is the effort by a country or individuals to build relationships and influence foreign publics through communication, cultural exchange, and shared values rather than formal political negotiations. It focuses on trust-building and long-term understanding between societies.
I relate to the idea of public diplomacy as a form of human connection beyond official institutions. As someone with a multicultural and multilingual background, I see value in clear communication and respectful interaction between people of different origins. Even in everyday life, exchanging ideas, translating languages, and understanding different perspectives can contribute to a more peaceful and cooperative global environment. In this sense, public diplomacy is not only practiced by governments, but also by individuals who act responsibly and thoughtfully in cross-cultural settings.</t>
  </si>
  <si>
    <t>Passion is a strong inner drive or deep interest that motivates a person to pursue something with energy, consistency, and dedication. It is more than just liking something; it is a sense of purpose that keeps a person focused even when challenges arise or progress is slow.
Passion plays an important role in achieving goals because it provides persistence. When difficulties appear, passion helps a person continue instead of giving up. It also increases motivation, making learning and improvement more natural and enjoyable. A passionate person is more likely to invest time in developing skills, seeking opportunities, and overcoming obstacles.
In my own understanding, passion helps turn goals into long-term commitment rather than temporary effort. It gives direction and meaning to daily actions and helps maintain discipline over time. Without passion, goals may feel like obligations, but with passion, they become a personal journey of growth and achievement.</t>
  </si>
  <si>
    <t>Yes, I consider myself a creative person, especially in thinking about communication, language, and human interaction. Creativity for me is not only artistic expression, but also the ability to find new ways to explain ideas, solve problems, and connect people from different backgrounds.
This creativity can be turned into an effective public diplomacy strategy by focusing on clear and culturally sensitive communication. Public diplomacy relies on building trust and understanding between societies, and creativity helps in presenting messages in a way that is relatable and meaningful to different audiences. For example, storytelling, translation, and adapting messages to cultural contexts can make communication more impactful.
In practical terms, my language skills and interest in different cultures can be used to bridge communication gaps. I can help simplify complex ideas, translate perspectives accurately, and encourage dialogue between people of different backgrounds. Creativity also allows me to present information in a more engaging and human way, rather than purely formal communication.
By combining creativity with responsibility and awareness, public diplomacy becomes more effective. It transforms from simply delivering messages into building real connections between people, which is essential for long-term international understanding and cooperation.</t>
  </si>
  <si>
    <t>I discovered this position on LinkedIn, and I was subsequently invited to apply via email.</t>
  </si>
  <si>
    <t>Global politics, Diplomacy and Identities.</t>
  </si>
  <si>
    <t>Winzajewels@gmail.com</t>
  </si>
  <si>
    <t>98 church road b42 elf, Great barr, Birmingham, United Kingdom</t>
  </si>
  <si>
    <t>British</t>
  </si>
  <si>
    <t>00447467043322</t>
  </si>
  <si>
    <t>157255750</t>
  </si>
  <si>
    <t>+447405022942</t>
  </si>
  <si>
    <t>Aisha.kanwal@hotmail.co.uk</t>
  </si>
  <si>
    <t>Aisha.kanwal</t>
  </si>
  <si>
    <t>Aisha kanwal</t>
  </si>
  <si>
    <t>mmexport1762759567774.jpg</t>
  </si>
  <si>
    <t>IMG-20260531-WA0002.jpg</t>
  </si>
  <si>
    <t>Bsc Honours</t>
  </si>
  <si>
    <t>Health and Social Care</t>
  </si>
  <si>
    <t>University of Wales Trinity Saint David Birmingham</t>
  </si>
  <si>
    <t>AlHijrah Scouts</t>
  </si>
  <si>
    <t>https://AlHijrah.org</t>
  </si>
  <si>
    <t>Volunteer Leader</t>
  </si>
  <si>
    <t>1. Have you ever thought of changing the world? If yes, what actions did you take in your personal capacity to make an impact? (100 words)  Yes, I believe positive change begins with small actions at the community level. In my personal capacity, I have volunteered with youth groups and community organisations, supporting young people through educational and personal development activities. I have also contributed to health and wellbeing initiatives by raising awareness about mental health and encouraging individuals to access support services. Through my studies in Health and Social Care, I have developed a strong understanding of social challenges and the importance of inclusion. By promoting education, empathy, and community engagement, I aim to make a meaningful difference and inspire others to contribute positively to society.</t>
  </si>
  <si>
    <t>Aisha kanwal cv.pdf</t>
  </si>
  <si>
    <t>Yes, I believe positive change begins with small actions at the community level. In my personal capacity, I have volunteered with youth groups and community organisations, supporting young people through educational and personal development activities. I have also contributed to health and wellbeing initiatives by raising awareness about mental health and encouraging individuals to access support services. Through my studies in Health and Social Care, I have developed a strong understanding of social challenges and the importance of inclusion. By promoting education, empathy, and community engagement, I aim to make a meaningful difference and inspire others to contribute positively to society.</t>
  </si>
  <si>
    <t>I believe the United States is one of the most diplomatically significant countries in the world because of its influence on international politics, security, trade, and global institutions. As a permanent member of the United Nations Security Council, it plays a key role in addressing international conflicts and promoting global cooperation. The United States also maintains diplomatic relations with nearly every country and contributes significantly to international development, humanitarian aid, and peace-building efforts. While many countries have growing influence, the United States continues to shape global decision-making and remains an important actor in diplomacy and international relations.</t>
  </si>
  <si>
    <t>Youth play a vital role in diplomacy by promoting dialogue, cultural understanding, innovation, and cooperation across borders. Young people bring fresh perspectives to global challenges and can help build stronger relationships between communities and nations. Through education, social media, volunteering, and international exchange programmes, youth can contribute to peacebuilding, sustainable development, and mutual understanding.
Public diplomacy focuses on connecting people rather than only governments. It aims to strengthen international relationships through communication, cultural exchange, education, and collaboration. In today's interconnected world, young people are powerful ambassadors who can influence perceptions and encourage positive engagement between societies.
I relate strongly to the idea of public diplomacy because I believe that meaningful change often begins through communication and understanding. My experience volunteering with youth organisations and engaging with diverse communities has shown me the importance of listening to different perspectives and working together to solve common problems. Through my academic background in Health and Social Care, I have learned the value of inclusion, empathy, and community engagement. I believe young people have the ability to bridge cultural differences, promote tolerance, and contribute to a more peaceful and cooperative world. Public diplomacy provides an opportunity for youth to become active participants in shaping a better global future.</t>
  </si>
  <si>
    <t>Passion is a strong sense of purpose and enthusiasm that motivates a person to pursue their interests and ambitions. It provides the energy and determination needed to overcome challenges and remain committed to long-term goals. When individuals are passionate about something, they are more willing to learn, improve, and persist despite obstacles.
Passion has played an important role in helping me achieve my goals. My passion for education, community service, and personal development has encouraged me to continue learning and seeking opportunities to make a positive impact. It motivated me to complete my degree in Health and Social Care and to volunteer within my community, supporting young people and promoting wellbeing. Passion helps me stay focused, resilient, and motivated during difficult times. It reminds me of the purpose behind my efforts and inspires me to keep working towards meaningful goals that benefit both myself and the wider community.</t>
  </si>
  <si>
    <t>Yes, I consider myself a creative person because I enjoy finding innovative ways to connect with people from different backgrounds and cultures. Creativity is an important tool in public diplomacy because it helps communicate ideas in a way that is engaging, inclusive, and memorable.
I would turn creativity into an effective public diplomacy strategy by using storytelling, cultural exchange, and digital communication to build understanding between communities. For example, social media campaigns, educational projects, and cultural events can be used to share experiences, highlight common values, and encourage dialogue among people from different countries. Creative content such as videos, photographs, and personal stories can make complex issues easier to understand and help foster mutual respect.
My background in Health and Social Care has taught me the importance of empathy, active listening, and effective communication. These skills can support public diplomacy by helping create meaningful connections and promoting cooperation across cultures. I believe successful diplomacy is built on trust, and creativity can make diplomatic messages more accessible and impactful.
By combining creativity with cultural awareness and communication skills, I hope to contribute to initiatives that promote understanding, collaboration, and positive international relationships.</t>
  </si>
  <si>
    <t>I was sent email to sign up for the summit and join fully funded course</t>
  </si>
  <si>
    <t>Public Diplomacy in the 21st Century Since you have a BSc in Health and Social Care, this answer will fit well with your academic background and scholarship application.</t>
  </si>
  <si>
    <t>Junior grace kevine doumbou de barro</t>
  </si>
  <si>
    <t>kevinedebarro@gmail.com</t>
  </si>
  <si>
    <t>Fatih MAH. 885. SK. NO: 1/4 istanbul, Istanbul, Türkiye</t>
  </si>
  <si>
    <t>Congolese</t>
  </si>
  <si>
    <t>+905353480709</t>
  </si>
  <si>
    <t>OA0615263</t>
  </si>
  <si>
    <t>+90 (546) 188 98 30</t>
  </si>
  <si>
    <t>https://www.linkedin.com/in/junior-grace-kevine-doumbou-de-barro-0306751a9?utm_source=share_via&amp;utm_content=profile&amp;utm_medium=member_ios</t>
  </si>
  <si>
    <t>https://www.instagram.com/chotay_jdb?igsh=dnE1MHA1czlqZG56&amp;utm_source=qr</t>
  </si>
  <si>
    <t>https://www.facebook.com/share/19zrPJ5oKP/?mibextid=wwXIfr</t>
  </si>
  <si>
    <t>passeport-juniorNew.pdf</t>
  </si>
  <si>
    <t>IMG_0704.jpeg</t>
  </si>
  <si>
    <t>Business administration</t>
  </si>
  <si>
    <t>Gelişim university</t>
  </si>
  <si>
    <t>Medical advisor</t>
  </si>
  <si>
    <t>Videographer</t>
  </si>
  <si>
    <t>CV-JuniorDeBarro En francais 4.0.pdf</t>
  </si>
  <si>
    <t>Yes, I’ve often thought about changing the world, even in a small way. I believe that meaningful change starts with individual actions. Personally, I have shared my knowledge, offered my support and advice whenever possible, and encouraged those around me to pursue their goals. I also strive to act with integrity, respect, and empathy in my daily interactions. Although these actions may seem modest, I believe that a positive influence can create a ripple effect that ultimately contributes to broader social change</t>
  </si>
  <si>
    <t>It is difficult to single out any one country as having major diplomatic significance, as its global influence depends on factors such as its economic power, political leadership, military capabilities, and international cooperation. However, countries such as the United States, China, and France play a particularly important diplomatic role due to their influence within international organizations, global trade, and conflict resolution. Their decisions often shape international policies and relations, making them key players in addressing global challenges and promoting cooperation among nations.</t>
  </si>
  <si>
    <t>Young people play a vital role in diplomacy by bringing fresh perspectives, creativity, and innovative solutions to global challenges. As future leaders, they can promote intercultural dialogue, foster mutual understanding, and contribute to peacebuilding efforts through education, advocacy, and community engagement. Their active participation helps ensure that diplomatic discussions reflect the interests and aspirations of younger generations.
I am drawn to the concept of public diplomacy because it emphasizes building connections between people rather than solely between governments. Through communication, cultural exchange, and knowledge-sharing, individuals can strengthen international relations and combat stereotypes. I am convinced that young people can use social media, education, and volunteer work to positively represent their communities and encourage international cooperation. By opening themselves up to diverse cultures and perspectives, young people can become true ambassadors of understanding and contribute to a more connected and peaceful world</t>
  </si>
  <si>
    <t>Passion is a deep enthusiasm and absolute dedication to something that inspires and motivates us. It gives meaning to our efforts and encourages us to persevere, even in the face of difficulties and setbacks. Passion helps us achieve our goals by strengthening our commitment, focus, and resilience. When we are passionate about what we do, we are more inclined to learn, improve, and invest time and energy in our development. It also helps us maintain a positive attitude and stay determined during difficult times. For me, passion is a driving force that turns ambitions into actions and makes long-term goals attainable</t>
  </si>
  <si>
    <t>Yes, I consider myself a creative person. Creativity allows me to go beyond conventional approaches, adapt to different situations, and find innovative ways to communicate with people from diverse backgrounds. In public diplomacy, creativity is essential for effectively communicating ideas and building meaningful cross-cultural relationships.
I can turn creativity into an effective public diplomacy strategy by using storytelling, digital media, cultural exchange initiatives, and community engagement to promote mutual understanding. Creative campaigns can make complex issues more accessible and encourage dialogue among different audiences. By combining innovation, empathy, and excellent communication skills, I can help foster positive perceptions, strengthen ties between peoples, and highlight shared values. I believe that creative public diplomacy is most effective when it inspires collaboration, encourages cultural appreciation, and creates opportunities for constructive international engagement</t>
  </si>
  <si>
    <t>Mail</t>
  </si>
  <si>
    <t>Mohd Rayyan Badruddin Ansari</t>
  </si>
  <si>
    <t>ansarirayyanmohd@gmail.com</t>
  </si>
  <si>
    <t>1096, Azad Nagar, Near Rahemat Pur Shaadi Hall, Shanti Nagar, Bhiwandi, India</t>
  </si>
  <si>
    <t>9011410721</t>
  </si>
  <si>
    <t>U7213574</t>
  </si>
  <si>
    <t>9167764075</t>
  </si>
  <si>
    <t>b189c15a-4bce-47aa-a2f8-dcc72b4ad2ee.jpg</t>
  </si>
  <si>
    <t>University Of Mumbai</t>
  </si>
  <si>
    <t>Robinhood Army</t>
  </si>
  <si>
    <t>https://robinhoodarmy.com</t>
  </si>
  <si>
    <t>Senior Associate</t>
  </si>
  <si>
    <t>Yes, "Maharashtra Youth Tech Forum"</t>
  </si>
  <si>
    <t>To bridge the digital divide by providing free, industry-aligned software engineering education to the youth of Maharashtra, transforming them into employable tech professionals who can compete in the global economy.</t>
  </si>
  <si>
    <t>Academic Researcher, Software Engineer, Global Outlook, Effective Communication, Leader of change</t>
  </si>
  <si>
    <t>Deedy_CV (1).pdf</t>
  </si>
  <si>
    <t>Yes. I believe changing the world does not always begin with large institutions; it often starts by solving problems within one's own community. As a software engineer, I founded the Maharashtra Youth Tech Forum with the goal of making quality technology education accessible to students who lack industry exposure. Through mentorship, guidance, and practical learning resources, the initiative aims to reduce the gap between academic learning and real-world skills. Alongside this, I volunteered with the Robinhood Army for several years, contributing to food distribution drives and community welfare efforts. These experiences taught me that meaningful impact begins with consistent action.</t>
  </si>
  <si>
    <t>I believe India is becoming one of the most diplomatically significant countries in the world. Its importance comes from a unique combination of demographic strength, economic growth, cultural influence, technological progress, and strategic geographic position. India maintains relationships with both Eastern and Western powers while continuing to advocate for dialogue, development, and global cooperation.
What makes India particularly important today is its ability to act as a bridge between developed and developing nations. Through initiatives in digital infrastructure, climate discussions, healthcare, and global partnerships, India is increasingly shaping international conversations. Its democratic framework and cultural diversity also strengthen its soft power across regions.
As the world moves toward a multipolar order, India’s balanced diplomacy and growing global influence make it a key actor in shaping the future of international relations.</t>
  </si>
  <si>
    <t>Youth play a critical role in diplomacy because they are often the first generation to experience global issues collectively. Whether it is climate change, artificial intelligence, migration, digital misinformation, or economic transformation, young people are directly affected by decisions made across borders. Their perspectives help diplomacy remain relevant, future-oriented, and connected to societal realities.
I relate strongly to the idea of public diplomacy because much of my professional and personal work revolves around communication, technology, and community engagement. Public diplomacy is no longer limited to embassies and official meetings. Today, ideas travel through technology platforms, cultural exchange, entrepreneurship, education, and digital communities.
As a software engineer, I have witnessed how technology can connect people from different regions and backgrounds. Through the Maharashtra Youth Tech Forum, I have worked with students from diverse communities and seen how knowledge-sharing creates trust, opportunity, and collaboration. In many ways, that reflects the essence of public diplomacy: building understanding between people before building agreements between institutions.
I believe effective diplomacy in the 21st century requires both policy knowledge and human connection. Young people bring creativity, adaptability, and digital fluency to this process, making them valuable contributors to international dialogue and cooperation.</t>
  </si>
  <si>
    <t>Passion is the ability to stay committed to something even when there is no immediate reward. It is the force that keeps a person moving forward through uncertainty, setbacks, and long learning curves. For me, passion has always been rooted in technology, learning, and building things that create value for others.
Coming from a technology background, many of the opportunities I have achieved were the result of continuous effort rather than talent alone. Passion made it easier to spend years improving my skills, adapting to new technologies, and taking on challenges outside my comfort zone. It also motivated me to start initiatives that support others, such as mentoring students through youth-focused technology programs.
Goals often require patience and consistency. Passion provides both. It transforms discipline from an obligation into a choice and helps maintain focus during difficult periods. In my experience, passion is not merely enthusiasm; it is sustained commitment toward a purpose.</t>
  </si>
  <si>
    <t>Yes, I consider myself a creative person, although not in the traditional artistic sense alone. Creativity, to me, is the ability to connect ideas, solve problems differently, and communicate complex concepts in ways that people can relate to. As a software engineer, creativity is present in designing systems, building products, and finding practical solutions to challenges.
In public diplomacy, creativity is one of the most powerful tools available. Facts and policies are important, but people often connect through stories, experiences, and cultural understanding. Creative communication helps bridge differences between societies and makes international engagement more human and accessible.
For example, digital platforms, technology-driven storytelling, educational initiatives, cultural exchanges, and community projects can all become instruments of public diplomacy. A well-designed campaign can shape perceptions more effectively than formal statements. Similarly, technology can create spaces where people from different countries interact, collaborate, and learn from one another.
I believe creativity becomes an effective diplomacy strategy when it focuses on empathy and engagement. The objective is not simply to deliver information, but to build trust, encourage dialogue, and create lasting connections. In a world increasingly influenced by digital communication, creative approaches will continue to play a central role in strengthening international understanding.</t>
  </si>
  <si>
    <t>During my Masters Research</t>
  </si>
  <si>
    <t>ANTONIA NARENGI</t>
  </si>
  <si>
    <t>kishajustice1@gmail.com</t>
  </si>
  <si>
    <t>antokisha@gmail.com</t>
  </si>
  <si>
    <t>110, ISIOLO, Kenya</t>
  </si>
  <si>
    <t>Kenyan</t>
  </si>
  <si>
    <t>+254716740984</t>
  </si>
  <si>
    <t>31800601</t>
  </si>
  <si>
    <t>+254727875244</t>
  </si>
  <si>
    <t>https://www.linkedin.com/in/antonia-n-b4399a106?utm_source=share_via&amp;utm_content=profile&amp;utm_medium=member_android</t>
  </si>
  <si>
    <t>https://www.instagram.com/justicekisha1?igsh=MTdoY2RrdDkwc3FxNA==</t>
  </si>
  <si>
    <t>https://www.facebook.com/share/1ZcsosnUxe/</t>
  </si>
  <si>
    <t>ANTONIA INTERNATIONAL PASSPORT DETAILS.pdf</t>
  </si>
  <si>
    <t>EMERGING LEADERS-53.jpg</t>
  </si>
  <si>
    <t>Education Arts</t>
  </si>
  <si>
    <t>Educational Administration Leadership and Management</t>
  </si>
  <si>
    <t>Mount Kenya University</t>
  </si>
  <si>
    <t>Kenya</t>
  </si>
  <si>
    <t>Yes. I have volunteered in community-based adult literacy and education initiatives, supporting marginalized adults and out-of-school youth by providing literacy, numeracy, digital literacy, and life skills training. I have also participated in community outreach programs that promote education, empowerment, and lifelong learning.</t>
  </si>
  <si>
    <t>Adult Literacy Volunteer and Community Education Facilitator</t>
  </si>
  <si>
    <t>I am a full-time English teacher and education professional. My responsibilities include:  Planning and delivering learner-centered lessons. Teaching English language and communication skills. Assessing learners' progress and providing constructive feedback. Supporting adult literacy and lifelong learning initiatives. Developing educational materials and integrating digital learning tools. Mentoring learners and promoting inclusive education. Organizing educational outreach activities within the community.</t>
  </si>
  <si>
    <t>African Pearl Solace (AFPESO) is a community-based organization that I founded to empower women, girls, and young people in rural Kenya through education, sustainable agriculture, environmental conservation, leadership development, and economic empowerment. The organization works to improve access to quality education, promote climate-smart agriculture, strengthen food security, build entrepreneurial skills, and create opportunities for youth and women to become active contributors to sustainable community development.</t>
  </si>
  <si>
    <t>Education and Teaching | English Language Instruction | Adult Literacy | Public Speaking | Leadership | Community Development | Curriculum Development | Project Coordination | Digital Literacy Training | Communication | Research | Academic Writing | Content Writing | Mentoring | Teamwork | Cross-cultural Communication | YouTube Content Creation | AI-assisted Educational Content Creation</t>
  </si>
  <si>
    <t>Antonia_Narengi_CV.pdf</t>
  </si>
  <si>
    <t>Yes. I believe meaningful change begins at the community level. As a Senior Adult Education Instructor with Kenya's Ministry of Education, I have empowered adults through literacy, digital literacy, and life skills, enabling them to improve their livelihoods and participate more actively in society. I also founded African Pearl Solace (AFPESO), a community-based organization dedicated to empowering women, girls, and youth through education, sustainable agriculture, leadership, and environmental conservation. Through mentorship, community outreach, and advocacy, I have worked to reduce educational inequalities and create opportunities for vulnerable populations to become self-reliant and active contributors to sustainable development.</t>
  </si>
  <si>
    <t>I believe no single country can solely define global diplomacy, but Switzerland stands out because of its long-standing neutrality, commitment to peace building, humanitarian action, and multilateral cooperation. It hosts numerous international organizations, including the United Nations Office in Geneva, making it a global center for dialogue and conflict resolution. Switzerland demonstrates that diplomacy is built on trust, respect, and collaboration rather than power alone. However, every nation contributes uniquely to global diplomacy, and today's interconnected world requires countries from all regions to work together to address challenges such as climate change, inequality, migration, and sustainable development.</t>
  </si>
  <si>
    <t>Young people are essential drivers of diplomacy because they bring innovation, creativity, and fresh perspectives to solving global challenges. As the most connected generation in history, youth have the ability to build bridges across cultures, challenge stereotypes, and promote peaceful dialogue through education, technology, entrepreneurship, and civic engagement.
Public diplomacy extends beyond government-to-government relations; it focuses on building trust, mutual understanding, and meaningful relationships between people and nations. I strongly relate to this concept because my work has always centered on connecting communities through education and empowerment. As a Senior Adult Education Instructor, I help marginalized learners gain knowledge and confidence, while as the founder of African Pearl Solace (AFPESO), I promote women's empowerment, environmental sustainability, and community development through partnerships and grassroots engagement.
I believe education itself is a powerful tool of public diplomacy because it fosters understanding, tolerance, and social inclusion. Participating in the Young Public Diplomacy Summit will enable me to exchange ideas with young leaders from diverse backgrounds, strengthen my leadership skills, and build international partnerships that can amplify the impact of my work. I hope to become a global advocate for inclusive education, youth leadership, gender equality, and sustainable development.</t>
  </si>
  <si>
    <t>Passion is the inner motivation that inspires individuals to remain committed to a purpose despite challenges. It is the driving force behind perseverance, resilience, and continuous learning. For me, passion lies in transforming lives through education and community empowerment. It has inspired me to dedicate my career to improving literacy, promoting lifelong learning, and creating opportunities for women and young people who face social and economic barriers.
My passion also motivated me to establish African Pearl Solace (AFPESO), where I work to empower vulnerable communities through education, sustainable agriculture, leadership development, and environmental conservation. Passion gives me the determination to overcome obstacles, embrace innovation, and seek partnerships that create lasting social impact. It reminds me that meaningful change begins with service, compassion, and the willingness to invest in the potential of others.</t>
  </si>
  <si>
    <t>Yes. I consider creativity one of my greatest strengths because it allows me to develop practical solutions to community challenges. Throughout my career, I have designed innovative learning approaches that integrate literacy, digital skills, entrepreneurship, and life skills to improve the lives of adult learners. I also founded African Pearl Solace (AFPESO) to create sustainable programmes that combine education, environmental conservation, women's empowerment, and climate-smart agriculture.
In public diplomacy, creativity is essential for engaging diverse audiences and fostering meaningful intercultural dialogue. I would use storytelling, digital media, educational campaigns, cultural exchanges, and community-led initiatives to promote mutual understanding between people from different backgrounds. Digital platforms can amplify positive narratives, challenge stereotypes, and encourage collaboration across borders.
I also believe that creative partnerships among governments, educational institutions, civil society organizations, and youth leaders can generate innovative solutions to global challenges. By combining education, technology, and cultural exchange, public diplomacy becomes more inclusive, participatory, and impactful. My goal is to use creativity not only to communicate ideas but also to inspire action, strengthen international cooperation, and empower communities to become active contributors to peace and sustainable development.</t>
  </si>
  <si>
    <t>Global Politics, Diplomacy and Identities</t>
  </si>
  <si>
    <t>AHMED ESMAIL</t>
  </si>
  <si>
    <t>AHMED ABDELATTY AHMED ESMAIL</t>
  </si>
  <si>
    <t>ahmedatyph@gmail.com</t>
  </si>
  <si>
    <t>Saudi Arabia, Hafr Al-Batin, Al-Naifiyah, Hafr Al-Batin, Saudi Arabia</t>
  </si>
  <si>
    <t>‭+966 53 199 0693‬</t>
  </si>
  <si>
    <t>A39105486</t>
  </si>
  <si>
    <t>IMG_1171.jpeg</t>
  </si>
  <si>
    <t>a4bd5c16-42f1-4a8e-9f0c-3ad75929c1e0.jpeg</t>
  </si>
  <si>
    <t>Becalore</t>
  </si>
  <si>
    <t>Farmacy</t>
  </si>
  <si>
    <t>AL AZHER University</t>
  </si>
  <si>
    <t>Yes, Student activities at the Faculty of Pharmacy, Al-Azhar University.</t>
  </si>
  <si>
    <t>Director</t>
  </si>
  <si>
    <t>Al-Shorouk family at the Faculty of Pharmacy, Al-Azhar University, Cairo.</t>
  </si>
  <si>
    <t>Leading work teams, educational comprehension, financial project management, investment fund management.</t>
  </si>
  <si>
    <t>IMG_1172.jpeg</t>
  </si>
  <si>
    <t>Yes — I believe change begins at the community level, where impact is most immediate. As a pharmacist and director of a pharmacy company in Saudi Arabia, I took it upon myself to expand access to affordable medication and reliable health guidance in underserved areas. I worked to train my staff not just in dispensing medicine, but in patient education, so every visit became an opportunity to improve health literacy. Beyond my company, I have supported public health awareness initiatives in my community. I see this as my personal contribution to a larger goal: a healthier, more informed society.</t>
  </si>
  <si>
    <t>I consider Indonesia one of the world’s most diplomatically significant countries. As the largest Muslim-majority nation and the world’s third-largest democracy, it bridges cultural, religious, and political divides across Southeast Asia and beyond. Indonesia’s leadership in ASEAN, its active role in the G20, and its consistent advocacy for multilateralism and interfaith dialogue give it unique credibility on the global stage. Its ability to balance economic growth, religious diversity, and democratic governance makes it a model for soft power diplomacy. Hosting international youth diplomacy platforms further reflects Indonesia’s commitment to shaping the next generation of global leaders.</t>
  </si>
  <si>
    <t>Youth play an increasingly vital role in diplomacy, not as future leaders alone, but as active participants shaping global dialogue today. Young people bring fresh perspectives, digital fluency, and a willingness to challenge outdated assumptions — qualities essential for addressing complex global challenges like health equity, climate change, and cross-cultural understanding. As someone who leads a healthcare-focused organization, I see firsthand how younger generations demand transparency, innovation, and social responsibility, pushing institutions to evolve.
I relate strongly to the idea of Public Diplomacy, which I understand as the practice of engaging directly with people — not just governments — to build mutual understanding between nations. In my own field, this translates into cross-border collaboration on healthcare standards, knowledge exchange with international pharmacy associations, and using my platform to advocate for accessible medicine as a form of humanitarian diplomacy. I believe youth-led public diplomacy is especially powerful because it operates through genuine relationships and shared values rather than formal negotiation alone. Empowering youth to represent their countries’ culture, expertise, and values abroad strengthens international trust from the ground up.</t>
  </si>
  <si>
    <t>Passion, to me, is the sustained energy that drives you to pursue meaningful work even when it is difficult. It is different from motivation, which can fade — passion is rooted in purpose, and it renews itself. My passion for pharmacy and public health has shaped my entire career: it pushed me to build a company that prioritizes patient care over pure commercial gain, and it continues to drive me to look beyond my industry toward broader issues like public health awareness and international cooperation.
Passion helps me achieve my goals because it provides resilience. When faced with regulatory challenges, market pressures, or slow progress, passion keeps me focused on the long-term impact rather than short-term setbacks. It also inspires those around me — my team, my community, and now, potentially, this platform for youth diplomacy.</t>
  </si>
  <si>
    <t>Yes, I consider myself a creative person — not necessarily in the artistic sense, but in how I approach problem-solving. Running a pharmacy company has required me to find innovative solutions to challenges like healthcare accessibility, patient trust, and operational efficiency, often by combining ideas from different disciplines: business, medicine, and community engagement.
I believe this kind of creativity translates directly into effective public diplomacy. Diplomacy is not only about formal agreements; it is about crafting narratives and initiatives that resonate with people across cultures. My creativity would allow me to design public diplomacy strategies that connect health, humanitarian values, and cultural exchange — for example, using healthcare cooperation as a bridge-building tool between nations, or creating youth-focused initiatives that combine professional expertise with cultural dialogue.
Creative public diplomacy, in my view, means finding unconventional entry points to build trust — turning shared human concerns like health, education, and opportunity into platforms for international understanding. I see my professional background as an asset in shaping practical, human-centered diplomatic initiatives.</t>
  </si>
  <si>
    <t>My friend</t>
  </si>
  <si>
    <t>Public Relations</t>
  </si>
  <si>
    <t>Tamim Hossain</t>
  </si>
  <si>
    <t>tamimhossain911078@gmail.com</t>
  </si>
  <si>
    <t>tamimhossainpsau1@gmail.com</t>
  </si>
  <si>
    <t>Banglabazar, Begumganj, Noakhali, Bangladesh</t>
  </si>
  <si>
    <t>01742859971</t>
  </si>
  <si>
    <t>A00538286</t>
  </si>
  <si>
    <t>01832679740</t>
  </si>
  <si>
    <t>https://www.facebook.com/m.tamim.hossain.131250</t>
  </si>
  <si>
    <t>IMG-20230627-WA0001_2.jpg</t>
  </si>
  <si>
    <t>1751725500879.jpg</t>
  </si>
  <si>
    <t>Bachelor's completed, Now pursing a diploma from Saudi Arabia</t>
  </si>
  <si>
    <t>Diploma in Arabic language, Saudi Arabia</t>
  </si>
  <si>
    <t>Islamic studies</t>
  </si>
  <si>
    <t>Islamic Arabic University, Dhaka, Bangladesh</t>
  </si>
  <si>
    <t>Bangladesh, and Saudi Arabia</t>
  </si>
  <si>
    <t>Yes. I am familiar with academic research through my academic studies. Although I have not conducted formal research yet, I understand the basic principles of research, including literature review, data collection, analysis, and academic writing. I am eager to develop my research skills further.</t>
  </si>
  <si>
    <t>Yes. I have volunteered with BD Clean, Chowmuhani Blood Foundation, UN Online Volunteers, and several local volunteer organizations. Through these organizations, I have participated in community clean-up campaigns, blood donation awareness and support activities, online volunteering initiatives, and various social service programs. These experiences have strengthened my leadership, teamwork, communication, and sense of social responsibility.</t>
  </si>
  <si>
    <t>My role as a volunteer involved participating in a variety of community service activities. With BD Clean, I took part in environmental clean-up campaigns and promoted cleanliness in public spaces. At Chowmuhani Blood Foundation, I assisted in blood donation initiatives by helping connect blood donors with patients in critical need. I also participated in winter clothing distribution for underprivileged people and food distribution programs for those facing hunger.  In addition, I worked with several local volunteer organizations, where I supported community welfare activities such as distributing medicines during the COVID-19 pandemic, providing relief and assistance to flood-affected communities, promoting handwashing and public health awareness, and participating in other humanitarian and social service initiatives.</t>
  </si>
  <si>
    <t>From 2020, 5 years</t>
  </si>
  <si>
    <t>Yes,Banglabazar Youth Society</t>
  </si>
  <si>
    <t>In 2020, I founded Banglabazar Youth Society, a community-based volunteer organization dedicated to serving vulnerable and underprivileged people. As the Founder and President, my vision has been to build a compassionate community where young people work together to address social challenges and promote humanitarian values.
Our organization focuses on supporting financially disadvantaged families, assisting sick individuals in accessing medical care, organizing blood donation campaigns and connecting patients with volunteer donors, and raising public awareness against drug abuse and other harmful social issues. We also encourage youth participation in community service and civic responsibility through various volunteer initiatives.
Growing up in a flood-prone region of Bangladesh, I have witnessed the devastating impact of natural disasters on people's lives. This experience has inspired me to make disaster response and recovery one of our organization's key priorities. In the future, I plan to expand our efforts by providing emergency food, clean water, medicines, and essential relief supplies during floods, as well as supporting the rehabilitation and long-term recovery of affected families.
My long-term vision is to develop Banglabazar Youth Society into a nationally recognized and internationally respected volunteer organization that empowers communities, promotes humanitarian action, and creates sustainable social impact through youth leadership and service.</t>
  </si>
  <si>
    <t>I am a scholar, and also a writer,</t>
  </si>
  <si>
    <t>Document (6).pdf</t>
  </si>
  <si>
    <t>Yes. I have always believed that meaningful change begins with small actions. In 2020, I founded Banglabazar Youth Society to encourage young people to serve their communities through volunteerism. I have participated in blood donation campaigns, environmental clean-up initiatives, and awareness programs against drug abuse. I have also supported vulnerable families by helping distribute food, clothing, and emergency assistance, especially during floods and other crises. These experiences have taught me that lasting impact is created through compassion, teamwork, and consistent service. My goal is to continue expanding these efforts and inspire more young people to become active changemakers.</t>
  </si>
  <si>
    <t>I believe no single country is the most diplomatically significant in every respect, as global diplomacy depends on cooperation among many nations. However, the United States plays a particularly influential role because of its global leadership, economic strength, military capabilities, and active involvement in international organizations. At the same time, countries such as China, Saudi Arabia, Türkiye, and members of the European Union also make major contributions to diplomacy through trade, mediation, development, and regional cooperation. In today's interconnected world, effective diplomacy is built on dialogue, mutual respect, and collaboration rather than the influence of any one nation alone.</t>
  </si>
  <si>
    <t>I believe young people are one of the most important driving forces in modern diplomacy. They bring fresh ideas, creativity, energy, and a strong commitment to solving global challenges. Through dialogue, volunteerism, cultural exchange, and digital communication, youth can build mutual understanding, reduce prejudice, and strengthen relationships between nations. They are not only the future of diplomacy but also active contributors to peace, sustainable development, and international cooperation today.
To me, public diplomacy is about connecting people beyond governments. It is the process of building trust, respect, and understanding through education, culture, humanitarian service, and meaningful communication. I strongly relate to this idea because I have dedicated myself to serving my community. In 2020, I founded Banglabazar Youth Society, where I have worked with volunteers to support vulnerable families, organize blood donation initiatives, promote environmental cleanliness, and raise awareness about social issues such as drug abuse.
These experiences have taught me that genuine service creates trust and strengthens communities. I believe the same principle applies internationally. By listening to others, respecting cultural diversity, and working together on shared challenges, young people can become effective public diplomacy ambassadors who promote peace, cooperation, and positive change across borders.</t>
  </si>
  <si>
    <t>To me, passion is a deep sense of purpose and commitment that motivates a person to work consistently toward their goals. It is the inner drive that helps people remain determined even in the face of challenges and setbacks. Passion gives direction, discipline, and the desire to continuously learn and improve.
My passion is to serve society, promote positive change, and contribute to international understanding through education and community service. This passion inspired me to establish Banglabazar Youth Society in 2020, where I have worked with volunteers on blood donation campaigns, environmental clean-up initiatives, support for underprivileged families, and awareness programs against social issues such as drug abuse.
I believe that passion transforms ideas into action. It helps me stay focused, overcome difficulties, and continue working toward my long-term goal of becoming a leader who creates meaningful social impact.</t>
  </si>
  <si>
    <t>Yes, I consider myself a creative person because I enjoy finding practical solutions to social challenges and bringing people together for a common purpose. Creativity, to me, is not only about generating new ideas but also about transforming simple ideas into meaningful actions that benefit society.
In 2020, I founded Banglabazar Youth Society, where I worked with volunteers to organize blood donation campaigns, environmental clean-up activities, humanitarian assistance, and awareness programs against drug abuse. These experiences taught me that creativity becomes truly valuable when it inspires people to participate and serve their communities.
I believe creativity can become an effective public diplomacy strategy by promoting mutual understanding, cultural exchange, and people-to-people connections. Social media, volunteer programs, youth exchanges, storytelling, and community initiatives can help bridge cultural differences and build trust across borders. When young people share their experiences, values, and traditions with respect and openness, they create positive impressions of their countries and strengthen international friendships.
As a young leader, I hope to use creativity, communication, and community service to promote peace, cooperation, and cross-cultural understanding. I believe that genuine human connections are the foundation of successful public diplomacy and lasting international relationships.</t>
  </si>
  <si>
    <t>Scholarship portel</t>
  </si>
  <si>
    <t>The program module that interests me the most is Public Diplomacy and Cross-Cultural Communication. I believe that understanding different cultures, values, and perspectives is essential for building trust and strengthening international relationships. As the founder of Banglabazar Youth Society and an active volunteer, I have learned that meaningful dialogue and community engagement can bring people together and create positive social change.  I am eager to learn from experts, exchange ideas with participants from diverse backgrounds, and develop practical skills in communication, leadership, and diplomacy. I believe this module will help me become a more effective youth leader and enable me to represent my community and country while promoting peace, mutual understanding, and international cooperation.</t>
  </si>
  <si>
    <t>Khadija Iftikhar</t>
  </si>
  <si>
    <t>khadijasaqib004@gmail.com</t>
  </si>
  <si>
    <t>khadijasaqib666@gmail.com</t>
  </si>
  <si>
    <t>Chak 177 GB Sandah Kala, Tehsil Samundri, District Faisalabad, sammundri, Pakistan</t>
  </si>
  <si>
    <t>+923094248136</t>
  </si>
  <si>
    <t>CW1579321</t>
  </si>
  <si>
    <t>https://www.linkedin.com/in/khadijaiftikhar177?</t>
  </si>
  <si>
    <t>CamScanner 12-05-2023 08.33.jpg</t>
  </si>
  <si>
    <t>WhatsApp Image 2026-07-10 at 11.47.34 AM.jpeg</t>
  </si>
  <si>
    <t>Bsc. hons. Environmental Sciences</t>
  </si>
  <si>
    <t>Environmental science</t>
  </si>
  <si>
    <t>University of Agriculture, Faisalabad</t>
  </si>
  <si>
    <t>EcoRevival Pakistan</t>
  </si>
  <si>
    <t>Project reporting officer</t>
  </si>
  <si>
    <t>To promote environmental sustainability through climate action, environmental education, community engagement, and youth empowerment. EcoRevival Pakistan works to advance Action for Climate Empowerment (ACE) by raising public awareness, encouraging conservation and ecosystem restoration, supporting sustainable practices, and mobilizing young people to lead initiatives that contribute to a greener and more climate-resilient Pakistan</t>
  </si>
  <si>
    <t>Climate Change Environmental Policy Environmental Governance Waste Management Circular Economy Biodiversity Conservation Ecosystem Restoration Water Resource Management Environmental Impact Assessment (EIA) Climate Adaptation &amp; Resilience Sustainable Development (SDGs) Environmental Education &amp; Awareness</t>
  </si>
  <si>
    <t>CV - Khadija.pdf</t>
  </si>
  <si>
    <t>Yes. I believe meaningful change begins with individual action. I founded EcoRevival Pakistan to empower young people through environmental education, climate awareness campaigns, clean-up drives, tree plantation initiatives, and community engagement. I have organized webinars, workshops, and volunteer activities that encourage sustainable practices and environmental stewardship. Alongside my community work, I have contributed to environmental policy processes through my work with Pakistan's Ministry of Climate Change and Environmental Coordination, supporting initiatives on climate resilience and sustainable development. By combining grassroots action with policy engagement, I strive to inspire others and contribute to practical, long-term solutions for environmental challenges.</t>
  </si>
  <si>
    <t>No single country is the most diplomatically significant in every context, as influence depends on the issue being addressed.</t>
  </si>
  <si>
    <t>Youth play a vital role in modern diplomacy by serving as innovators, bridge-builders, and advocates for global cooperation. In an interconnected world, young people contribute fresh perspectives, digital engagement, and community-driven solutions to challenges such as climate change, peacebuilding, public health, and sustainable development. Through volunteerism, international exchanges, research, and civic participation, youth help strengthen mutual understanding across cultures and promote dialogue beyond formal government channels.
I strongly relate to the idea of public diplomacy because I believe lasting international relationships are built not only through governments but also through people. As the Founder of EcoRevival Pakistan and through my work with the Ministry of Climate Change and Environmental Coordination, I have engaged with diverse stakeholders, youth networks, and international partners to promote environmental awareness and climate action. These experiences have shown me that collaboration, knowledge sharing, and cultural exchange can inspire collective action and build trust across borders.
For me, public diplomacy means using education, community engagement, and evidence-based advocacy to represent my country positively while learning from others. I aspire to continue connecting local environmental initiatives with global partnerships, ensuring that youth voices contribute meaningfully to international dialogue and to achieving sustainable and inclusive solutions for future generations.</t>
  </si>
  <si>
    <t>Passion is the inner drive that gives purpose to our actions and motivates us to keep moving forward despite challenges. It is more than enthusiasm; it is a long-term commitment to creating meaningful impact. Passion provides resilience, encourages continuous learning, and transforms obstacles into opportunities for growth.
My passion lies in environmental sustainability and climate action. It has inspired me to found EcoRevival Pakistan, where I work with young people to promote environmental awareness, community engagement, and sustainable practices. It also motivated me to contribute to environmental policy through my work with the Ministry of Climate Change and Environmental Coordination, allowing me to connect grassroots action with national policy efforts.
This passion keeps me focused on my long-term goal of becoming a global environmental leader who develops practical and inclusive solutions to climate challenges. It reminds me that every initiative, no matter how small, can contribute to a healthier planet and a more sustainable future for communities worldwide.</t>
  </si>
  <si>
    <t>Yes, I consider myself a creative person because I enjoy finding practical and engaging ways to address complex challenges. Creativity is not only about generating new ideas but also about communicating them in ways that inspire people to take action. Throughout my environmental work, I have used innovative approaches such as youth-led campaigns, community clean-up drives, webinars, art competitions, and digital awareness initiatives to make climate issues more accessible and relatable.
I believe creativity can be transformed into an effective public diplomacy strategy by using culture, storytelling, education, and digital platforms to build trust and strengthen international understanding. Public diplomacy is most successful when it connects people through shared values and common goals rather than formal negotiations alone. By designing inclusive campaigns and encouraging cross-cultural dialogue, creative initiatives can foster collaboration on global challenges such as climate change and sustainable development.
As the Founder of EcoRevival Pakistan and through my experience supporting environmental policy initiatives, I have learned that meaningful engagement begins with listening, collaboration, and effective communication. In the future, I hope to use creative public diplomacy to connect youth across borders, promote environmental cooperation, and showcase Pakistan's commitment to sustainable development while learning from the experiences of other nations.</t>
  </si>
  <si>
    <t>Fatima Azahra BENALI</t>
  </si>
  <si>
    <t>Fatimaazahra.benali@essec.edu</t>
  </si>
  <si>
    <t>fatizahra.benali@gmail.com</t>
  </si>
  <si>
    <t>83 edouard colonne, nanterre, France</t>
  </si>
  <si>
    <t>moroccan</t>
  </si>
  <si>
    <t>+33767325144</t>
  </si>
  <si>
    <t>PK6590408</t>
  </si>
  <si>
    <t>+33651368971</t>
  </si>
  <si>
    <t>https://www.linkedin.com/in/fatima-azahra-benali/</t>
  </si>
  <si>
    <t>https://www.instagram.com/fleurita.benali/</t>
  </si>
  <si>
    <t>Page passports.pdf</t>
  </si>
  <si>
    <t>4edc7de3-363f-4097-8eb2-2508481faba6.jpg</t>
  </si>
  <si>
    <t>bachelor of business administration</t>
  </si>
  <si>
    <t>undergraduate</t>
  </si>
  <si>
    <t>business administration</t>
  </si>
  <si>
    <t>ESSEC</t>
  </si>
  <si>
    <t>france</t>
  </si>
  <si>
    <t>ESSEC Business school</t>
  </si>
  <si>
    <t>yes, L'armée du salut</t>
  </si>
  <si>
    <t>https://donner.armeedusalut.fr/mon-don/?codeorigine=ITSEAG01&amp;utm_source=google&amp;utm_medium=cpc&amp;utm_campaign=marqueads&amp;gad_source=1&amp;gad_campaignid=23201623384&amp;gbraid=0AAAAADcOE-OpXeEMbEB7TEHVagfF5rOIn&amp;gclid=CjwKCAjwgajSBhBEEiwASicJU8yIXK4SsdRCZQY5QSB-5JbSH_UtOdwUTwQW0J9RnQqmEnqXncbw8hoCnEAQAvD_BwE</t>
  </si>
  <si>
    <t>social helper</t>
  </si>
  <si>
    <t>under one year</t>
  </si>
  <si>
    <t>When I first joined the Soup, Soap and Salvation Association, I believed my job was to provide food, help people get clean, and offer them a safe place to stay. But I quickly realized that the most important part of our work was something that could not be measured. It was taking the time to sit next to someone, have a normal conversation, remember their name, and make them feel seen. We also organized activities where they could take part, share moments with others, and feel valued again. This experience completely changed the way I see service. I learned that restoring someone's dignity often starts with a simple human connection.</t>
  </si>
  <si>
    <t>yes, The E-MUN AFRICA : the first ESSEC AFRICA's model united nations</t>
  </si>
  <si>
    <t>The aim of E-MUN Africa is to empower young people by giving them a space to develop their leadership, diplomacy, and public speaking skills. Through debates, negotiations, and collaboration, participants learn how international organizations work and how dialogue can help solve global challenges. Beyond the simulations, E-MUN Africa connects students from different universities and backgrounds across Morocco, encouraging cultural exchange, critical thinking, and active citizenship. We also invite experienced leaders, diplomats, and entrepreneurs, such as Laila Costa-Pereira and Moussa Camara, to share their journeys and inspire participants to believe in their own potential. Our goal is to help young people become more confident, engaged, and ready to create positive change in their communities and beyond.</t>
  </si>
  <si>
    <t>Throughout my academic, leadership, and community experiences, I have developed strong skills in leadership, communication, teamwork, and project management. I enjoy bringing people together, organizing initiatives, and turning ideas into reality. Through experiences like co-founding E-MUN ESSEC, leading EMUN Africa, and working with the Soup, Soap and Salvation Association, I have learned to take initiative, solve problems, build meaningful partnerships, and adapt to different situations. These experiences have also strengthened my empathy, resilience, and ability to connect with people from diverse backgrounds. Above all, I believe my greatest strength is leading with purpose, listening to others, and creating opportunities that empower people and bring communities closer together.</t>
  </si>
  <si>
    <t>fatima_azahra_benali_cv (1).pdf</t>
  </si>
  <si>
    <t>Have I ever thought about changing the world? Honestly, yes. I think many young people dream about it. But as I grew older, I realized that changing the world does not always start with big actions. Sometimes, it starts by changing someone's world.
For me, that moment came after the earthquake that hit Morocco in September 2023. It was heartbreaking to see entire communities lose their homes and loved ones. But what affected me the most was seeing people who felt unheard while going through one of the hardest moments of their lives.
My father was working closely with local authorities during that period because of his role in public service. Watching him every day, I understood that behind every report or decision there was a family waiting for help. I tried to support him in my own way by listening to people, helping communicate their concerns, and making sure their voices reached the people who could take action. I was not making the decisions, but I learned that even helping someone feel heard can make a difference.
That experience changed the way I see impact. Before, I thought changing the world meant doing something extraordinary. Today, I believe it begins with small actions done with sincerity. It begins by standing beside people when they need someone, by listening before speaking, and by refusing to ignore problems simply because they seem too big.
I am only twenty years old, and I know I still have a lot to learn. But if I can continue helping communities feel represented, creating opportunities for young people, and building stronger connections between citizens and institutions, then I believe I am already taking my first steps toward changing the world—one community at a time.</t>
  </si>
  <si>
    <t>If I had to choose one country, I would choose Rwanda. It may not be the biggest country or the one people talk about the most, but I believe it has become one of the most important examples of diplomacy in the world.
What inspires me is not only Rwanda's role in international relations, but also its own story. After the 1994 genocide, the country faced one of the darkest moments in history. Yet instead of staying divided, it chose reconciliation, dialogue, and rebuilding. Today, Rwanda is known for promoting peace, contributing to United Nations peacekeeping missions, and bringing African countries together through regional cooperation.
As someone from Morocco, this speaks to me. Growing up, I learned from my father, who worked in public service, that leadership is not only about making decisions. It is also about listening to people, rebuilding trust, and finding solutions that bring communities together. When I learned about Rwanda's journey, I realized that diplomacy is not only something that happens between governments. It also begins within a country, by healing communities and creating a shared future.
I believe Rwanda shows that a country's influence is not measured by its size or its economy. It is measured by its ability to turn pain into progress and to inspire others through peace, resilience, and cooperation.
For me, that is the true meaning of diplomacy, and that is why I consider Rwanda one of the most diplomatically significant countries in the world.</t>
  </si>
  <si>
    <t>I believe young people have an important role in diplomacy because we bring new ideas, different perspectives, and the courage to ask questions. We grow up in a connected world where cultures, opinions, and challenges are shared across borders. Because of this, I think young people can help build understanding between communities before misunderstandings become conflicts.
For me, diplomacy is not only something that happens between governments. It also happens every time people from different backgrounds choose to listen to each other with respect. That is why I relate strongly to the idea of public diplomacy. It is about building trust, creating dialogue, and bringing people together through education, culture, and shared experiences.
This is one of the reasons why I co-founded E-MUN ESSEC, the first Model United Nations at ESSEC Africa. Our goal was not simply to organize a conference. We wanted to create a space where students from different universities across Morocco could meet, exchange ideas, and learn how dialogue can solve problems better than conflict. Seeing participants leave with new friendships, greater confidence, and a better understanding of global issues showed me the real impact that diplomacy can have.
I have also participated in several Model United Nations conferences, where I learned to represent countries, defend different points of view, negotiate, and find common ground with people who did not always agree with me. Those experiences taught me that diplomacy is not about winning an argument. It is about finding solutions that everyone can support.
As a young Moroccan, I also grew up watching my father work in public service. He taught me that before solving any problem, you have to listen. I carry this lesson with me in every leadership experience because I believe listening is one of the strongest diplomatic skills anyone can have.
I hope to continue promoting dialogue wherever I go. Whether through international forums, youth initiatives, or future public service, I want to help create spaces where people feel heard and where differences become opportunities to learn from one another. I believe that this is how young people can make diplomacy stronger, not only between countries, but also between people.</t>
  </si>
  <si>
    <t>"Passion is like a small flame. By itself, it gives light, but if you don't protect it and feed it, it slowly fades away."
For me, passion is difficult to explain because it is more of a feeling than a word. It is the reason I wake up excited to work on a project. It is what keeps me curious, even when things become difficult. But as I have grown, I have learned that passion alone is not enough.
There were many moments when I was passionate about an idea, but passion did not organize a conference, build partnerships, or solve problems. During E-MUN Africa, my team and I spent six months preparing our first conference. There were times when we felt tired and unsure if everything would come together. Passion made us believe in the project, but what truly made it happen was consistency. It was showing up every day, solving one problem after another, encouraging each other, and refusing to give up.
I learned the same lesson during my internship with the Soup, Soap and Salvation Association. I was passionate about helping people, but I quickly understood that real impact comes from commitment. Some days were emotionally difficult, but the people we met needed us to be present, patient, and reliable. Passion brought me there, but consistency allowed me to make a difference.
Today, I see passion as the beginning of every journey, not the end. It gives us purpose, but ambition gives us direction, discipline keeps us moving, and resilience helps us continue when motivation disappears.
I am passionate about leadership, diplomacy, and creating opportunities for others. But more importantly, I am committed to working for these goals every day, even when progress is slow. Because in the end, I believe dreams are achieved not only by those who feel deeply, but by those who continue even on the days when passion alone is not enough.</t>
  </si>
  <si>
    <t>Yes, I consider myself a creative person, but not only in an artistic way. Creativity, for me, is also about finding new ways to connect people and help them understand each other.
Since I was young, I have loved expressing myself through fashion design, painting, poetry, reading, and writing. These activities taught me that every person has a different story and that there are many ways to share it. They helped me become more curious, open-minded, and willing to see the world through someone else's eyes.
I also use creativity when I work with people. During Model United Nations conferences and while co-founding E-MUN ESSEC, I learned that every debate brings together different opinions, cultures, and ways of thinking. Instead of trying to convince others that my idea was the best, I tried to create conversations where everyone felt comfortable sharing their perspective. I believe that sometimes the most creative solution is simply finding a new way for people to listen to one another.
I think this is where creativity becomes a powerful tool for public diplomacy. Today, diplomacy is not only built through official meetings between governments. It is also built through young people, cultural exchange, education, and dialogue. A creative public diplomacy strategy should make international issues easier to understand and encourage people from different backgrounds to connect instead of divide.
If I had the opportunity, I would create a "Stories Beyond Borders" initiative where young people from different countries share personal stories, traditions, and local challenges through short videos, exhibitions, poetry, or discussions. I believe that when people discover the human story behind another culture, stereotypes begin to disappear. It becomes easier to build trust, respect, and cooperation.
To me, creativity is not only about creating art. It is about creating understanding. And in a world where people are often separated by language, culture, or politics, I believe understanding is one of the strongest forms of diplomacy.</t>
  </si>
  <si>
    <t>fullyscholarship website</t>
  </si>
  <si>
    <t>Theint​ Thinzar​ Thaw</t>
  </si>
  <si>
    <t>Bago,​Myanmar</t>
  </si>
  <si>
    <t>+959693078312</t>
  </si>
  <si>
    <t>MG883922</t>
  </si>
  <si>
    <t>inbound9181700422768653798.jpg</t>
  </si>
  <si>
    <t>inbound1691887056820920119.jpg</t>
  </si>
  <si>
    <t>MA​ in​ Global​ Affairs​ and​ Policy</t>
  </si>
  <si>
    <t>International​ Development​ Cooperation</t>
  </si>
  <si>
    <t>Yonsei​ University</t>
  </si>
  <si>
    <t>UNV</t>
  </si>
  <si>
    <t>https://www.unv.org</t>
  </si>
  <si>
    <t>Language​ interpreter,​Researcher</t>
  </si>
  <si>
    <t>inbound272298290279577887.pdf</t>
  </si>
  <si>
    <t>Yes. I believe meaningful change begins with individual action and grows through collaboration. As a trilingual freelance interpreter, I have promoted cross-cultural dialogue and mutual understanding, contributing to SDG 17 by bridging language and cultural barriers. I also volunteer as a Korean language teacher to expand educational opportunities for young people and mentor students seeking international education. Through UNDP volunteer assignments in social media outreach and policy research, I have supported humanitarian and development initiatives. These experiences have shown me that empowering individuals with knowledge, communication, and opportunity creates lasting change that strengthens communities locally and globally.</t>
  </si>
  <si>
    <t>I believe there is no single country that is universally the most diplomatically significant because diplomacy depends on context and global challenges. However, I consider the Republic of Korea particularly influential because it demonstrates how development, innovation, culture, and international cooperation can strengthen global partnerships. Through development assistance, public diplomacy, peace initiatives, and technological leadership, Korea actively contributes to international dialogue and sustainable development. Having studied in Korea, I have witnessed how educational exchange and cultural diplomacy build trust between nations. This reinforces my belief that diplomacy is most effective when countries create partnerships that promote mutual understanding and shared progress.</t>
  </si>
  <si>
    <t>Youth are not merely future leaders; they are active contributors to diplomacy today. Through digital platforms, volunteerism, innovation, and cross-cultural engagement, young people can bridge divides, challenge stereotypes, and build international cooperation. Public diplomacy is especially important because it emphasizes people-to-people connections rather than only government-to-government relations.
My own journey reflects this belief. As a trilingual freelance interpreter working in Korean, English, and Burmese, I have supported communication during educational, cultural, and development-related activities, helping people from different backgrounds understand one another. I also volunteer as a Korean language teacher, creating educational opportunities that encourage international exchange and mutual respect.
In addition, my volunteer experiences with UNDP in humanitarian communication and policy research have strengthened my understanding of global development, partnerships, and evidence-based decision-making. These experiences have convinced me that diplomacy is built not only through negotiations but also through trust, communication, and shared learning.
I aspire to continue promoting public diplomacy by connecting diverse communities, supporting international cooperation, and encouraging inclusive dialogue. I believe youth bring creativity, digital skills, and fresh perspectives that are essential for addressing today's global challenges and advancing peace and sustainable development.</t>
  </si>
  <si>
    <t>To me, passion is a long-term commitment to a purpose rather than a temporary emotion. It provides resilience during challenges and encourages continuous learning and growth. My passion lies in international cooperation, public diplomacy, and sustainable development.
This passion motivated me to pursue graduate studies in Global Affairs and Policy at Yonsei University, become a trilingual interpreter, volunteer as a Korean language teacher, and contribute to UNDP initiatives supporting humanitarian communication and policy research. Each experience has strengthened my commitment to creating opportunities for dialogue and collaboration across cultures.
Passion also helps me embrace new challenges, improve my professional skills, and remain dedicated even when progress is gradual. It reminds me that meaningful impact is built through consistent effort. I believe passion, combined with integrity and perseverance, enables individuals to transform ideas into practical actions that benefit communities and contribute to global peace and development.</t>
  </si>
  <si>
    <t>Yes. I believe creativity is essential for making diplomacy more inclusive, relatable, and impactful. Effective public diplomacy is no longer limited to formal meetings; it increasingly depends on engaging people through innovative communication, storytelling, education, and digital platforms.
As a trilingual interpreter and volunteer, I have learned that presenting the same message in culturally appropriate ways can significantly improve understanding and trust. Creativity allows us to adapt communication to different audiences while preserving the core message. Through educational outreach, social media engagement, and cross-cultural dialogue, complex global issues become more accessible and encourage broader participation.
I also believe digital technologies and AI can strengthen public diplomacy by expanding access to information, supporting multilingual communication, and connecting communities across borders. However, these tools should always be used responsibly to promote accuracy, inclusion, and respectful dialogue.
My goal is to combine multilingual communication, policy knowledge, and digital innovation to design people-centered diplomacy initiatives that encourage collaboration and mutual understanding. When creativity is guided by empathy and shared values, it becomes a powerful strategy for building trust, strengthening international partnerships, and advancing peace and sustainable development.
These responses are significantly stronger than generic answers and align well with the values emphasized by diplomacy-focused organizations like CSCD, Jeju Forum, and global youth leadership programs.</t>
  </si>
  <si>
    <t>Mena Zewdu Mersha</t>
  </si>
  <si>
    <t>menazewdumersha@gmail.com</t>
  </si>
  <si>
    <t>mazysus2203@gmail.com</t>
  </si>
  <si>
    <t>Örnek Mahllesi, Ayçe sokak No: 4, Dişkapı/ Altındağ/ Ankara, Ankara, Türkiye</t>
  </si>
  <si>
    <t>+90 5011319603</t>
  </si>
  <si>
    <t>EQ2330547</t>
  </si>
  <si>
    <t>+90 537 036 54 94</t>
  </si>
  <si>
    <t>www.linkedin.com/in/mena-zewdu-mersha-648630280</t>
  </si>
  <si>
    <t>https://www.instagram.com/menamersha?igsh=YjhhcHgzMmNsZThu</t>
  </si>
  <si>
    <t>Mena Zewdu Passport.pdf</t>
  </si>
  <si>
    <t>WhatsApp Image 2026-01-01 at 18.26.37.jpeg</t>
  </si>
  <si>
    <t>Ankara University</t>
  </si>
  <si>
    <t>Educational Equality Institute</t>
  </si>
  <si>
    <t>Mena Zewdu Mersha CV.pdf</t>
  </si>
  <si>
    <t>To me, the "world" isn't an abstract concept it is a vast mosaic of cultures, languages, and nations. True impact depends on how open we are to understanding it. I create this change in my personal capacity by actively immersing myself in international settings and forums. Rather than just observing, I learn new languages and coordinate multicultural programs. These actions allow me to directly empower my peers, equipping them with the tools and perspective to be impactful internationally.</t>
  </si>
  <si>
    <t>No single country holds absolute diplomatic significance, because diplomacy is an interconnected ecosystem that thrives when its actors are all actively impactful. To me, a truly significant country is not defined by raw power, but by being deeply informed about its history, readily engaged in global dialogue, and proactively planning for the future. Any nation that embodies these qualities can gain the upper hand. By fostering strategic foresight, these countries ultimately shape international relations, proving that true diplomatic weight comes from consistent, meaningful engagement rather than sheer size.</t>
  </si>
  <si>
    <t>Today's youth actively shape diplomacy while being shaped by it. Thanks to modern technology, young people can engage in public diplomacy directly, bypassing traditional, rigid protocols. As a foreign student, I experience this firsthand. My time abroad has shown me how effectively youth can act as cultural bridges. By engaging with communities both in my host country and back home, I can build a transparent screen of mutual benefit.
Furthermore, young people who immerse themselves in international settings are uniquely equipped to recognize prejudice and defuse conflicts proactively. For instance, learning the Turkish language has significantly increased my own capacity to practice public diplomacy, opening doors to deeper cross-cultural dialogue.</t>
  </si>
  <si>
    <t>Passion is a powerful driving force the raw fuel that sparks impactful projects and shapes our perspective of the world. However, passion alone is not enough; it cannot stay dormant or untamed. If left unmanaged, people either become overly aggressive in their approach or completely passive, letting their drive fade away.
True success requires finding a proactive middle ground. Passion must be consciously redirected and funneled into discipline, consistency, and strategic effort.
For me, this definition is exactly how I achieve my goals. When I take on international projects or learn challenging languages, my passion provides the initial spark. But to cross the finish line, I rely on turning that emotional energy into daily, disciplined habits. By balancing enthusiasm with structure, I ensure my passion is used effectively to create tangible, lasting global impact rather than just temporary excitement.</t>
  </si>
  <si>
    <t>Creativity, to me, is the art of building channels for ideas to flow into impactful action. I express this through community organization and public advocacy. As Vice President of the Association of Ethiopian Students in Turkey (Ankara branch), I use creative public diplomacy strategies to reshape the narrative of Africa in Turkey.
My team and I collaborate with various diplomatic missions, joining cultural festivals to showcase traditional literature, dance, and food. By leveraging art and cinema, we foster vibrant cross-cultural dialogues between local and international communities. Furthermore, I coordinate a specialized book club for my Ethiopian peers in Ankara. Gathering students from diverse academic backgrounds, we don't just read; we creatively brainstorm how to implement the books' ideas into real-world projects.
To turn this into a long-term, effective public diplomacy strategy, I focus on institutionalizing these creative spaces. By moving beyond temporary events and establishing consistent, structured cultural exchanges and joint intellectual forums, we build sustainable trust. This strategic approach transforms casual cultural appreciation into deep, lasting diplomatic ties, allowing young diaspora communities to actively bridge nations and dismantle historical prejudices from the ground up.</t>
  </si>
  <si>
    <t>Scholarship website</t>
  </si>
  <si>
    <t>Nasreen Ahmed</t>
  </si>
  <si>
    <t>NASREEN AHMED ABDO ABDULLAH</t>
  </si>
  <si>
    <t>nasreenahmed289@yahoo.com</t>
  </si>
  <si>
    <t>nasreeeena80@gmail.com</t>
  </si>
  <si>
    <t>al mansoura block 32, aden</t>
  </si>
  <si>
    <t>733076082</t>
  </si>
  <si>
    <t>11715385</t>
  </si>
  <si>
    <t>0096775200815</t>
  </si>
  <si>
    <t>https://www.facebook.com/share/1EAcL8Ao73/</t>
  </si>
  <si>
    <t>نسرين جواز.pdf</t>
  </si>
  <si>
    <t>Screenshot_20260705_182050_Gallery.jpg</t>
  </si>
  <si>
    <t>Arab Academy for Administrative, Financial and Banking Sciences.</t>
  </si>
  <si>
    <t>Oxfam Yemen</t>
  </si>
  <si>
    <t>https://www.oxfam.org/en</t>
  </si>
  <si>
    <t>One year</t>
  </si>
  <si>
    <t>I currently work at the Ministry of Justice as an Administrative Officer. My responsibilities include administrative coordination, document management, official correspondence, scheduling meetings, and providing administrative support.</t>
  </si>
  <si>
    <t>Leadership, Communication, Public Speaking, Academic Research, Academic Writing, Project Management, Teamwork, Problem Solving, Time Management, Event Coordination, Microsoft Office, and Digital Transformation.</t>
  </si>
  <si>
    <t>cv nasreen.pdf</t>
  </si>
  <si>
    <t>Yes, I have. If I could change one thing in the world, I would ensure that no one is left homeless or without dignity. I believe that every person deserves a safe place to live, regardless of their background or circumstances. Although I cannot solve this challenge alone, I have started by helping vulnerable and low-income families in my community through personal initiatives and volunteer work. My experience has taught me that meaningful change begins with individual action and compassion. I also believe that effective public policies, international cooperation, and inclusive diplomacy can help build societies where everyone has the opportunity to live with dignity, security, and hope.</t>
  </si>
  <si>
    <t>In my opinion, Saudi Arabia is one of the most diplomatically significant countries in the world. It has successfully become a global platform for international dialogue by hosting major summits, bringing together world leaders, and encouraging cooperation on regional and global issues. Saudi Arabia has also expanded its role in mediation, humanitarian initiatives, and international partnerships. I believe its ability to connect different cultures and promote dialogue demonstrates that diplomacy is not only about politics, but also about building trust, strengthening cooperation, and creating opportunities for peace and sustainable development.</t>
  </si>
  <si>
    <t>I believe young people should be the green flag of peace, respect, and mutual understanding between their own communities and the rest of the world. They are the driving force behind innovation, humanitarian action, and positive social change. When young people truly love their country, they become its best ambassadors, representing its values through their actions rather than words.
I relate to public diplomacy through my work in the Ministry of Justice, my volunteer activities, and my participation in community initiatives. I believe that serving people, building trust, and creating opportunities for dialogue are powerful forms of diplomacy. As a Yemeni woman, I want to represent my country by showing that Yemen is not only defined by conflict, but also by educated, resilient, and ambitious young people who are committed to peace, cooperation, and sustainable development.</t>
  </si>
  <si>
    <t>To me, passion means being able to reach my dreams with my own hands, no matter how difficult the journey becomes. During the conflict in Yemen in 2015, daily life was extremely challenging. We lived with severe shortages of basic services, and I was pregnant with my second child. After giving birth, I experienced the heartbreaking loss of my baby. Despite that painful chapter, I refused to give up on my future. My passion gave me the strength to continue my education, complete my Bachelor's degree, earn my MBA, and now prepare for my PhD. I believe passion is not simply an emotion; it is the courage to keep moving forward, even when life tests you the most.</t>
  </si>
  <si>
    <t>Yes, I consider myself a highly creative person. I enjoy thinking differently and finding practical solutions to challenges in both my personal and professional life. My family and friends often seek my advice because I enjoy analyzing problems and looking for innovative ways to solve them. I believe creativity is not only about creating something new; it is about seeing opportunities where others see obstacles. In public diplomacy, creativity can transform dialogue into understanding and differences into opportunities for cooperation. By using innovative ideas, storytelling, community initiatives, and digital communication, we can build trust between cultures and encourage peace. I hope to use my creativity to represent Yemen positively, strengthen cultural exchange, and inspire young people to become ambassadors of understanding, cooperation, and hope.</t>
  </si>
  <si>
    <t>Opportunities Corners.</t>
  </si>
  <si>
    <t>Youth Leadership and Public Diplomacy.</t>
  </si>
  <si>
    <t>JIXUAN WANG</t>
  </si>
  <si>
    <t>WANG JIXUAN</t>
  </si>
  <si>
    <t>lunawang689@gmail.com</t>
  </si>
  <si>
    <t>luckyplus6688@gmail.com</t>
  </si>
  <si>
    <t>CHINA</t>
  </si>
  <si>
    <t>+86 18519173799</t>
  </si>
  <si>
    <t>EF2043500</t>
  </si>
  <si>
    <t>KE DENG</t>
  </si>
  <si>
    <t>护照-Jixuan Wang.jpg</t>
  </si>
  <si>
    <t>Photo-JIXUAN WANG(Compressed Version).png</t>
  </si>
  <si>
    <t>CHINA CONMUUNICATION UNIVERSITY</t>
  </si>
  <si>
    <t>UN</t>
  </si>
  <si>
    <t>（已压缩）CV-JixuanWang.pdf</t>
  </si>
  <si>
    <t>I have always been eager to create positive global changes. I took charge of hosting national large-scale events for the United Nations International Week of Science and Peace across China, organizing youth forums to advocate scientific spirit and peaceful communication. I also launched cross-cultural sharing sessions for young people at home and abroad to reduce cultural stereotypes. Besides, I publish articles on youth public diplomacy online to encourage equal grassroots dialogue. Though these are grassroots efforts, they connect young voices, bridge cross-cultural gaps and deliver lasting peaceful influence to wider communities.</t>
  </si>
  <si>
    <t>China carries unmatched weight in global diplomacy. As a permanent UN Security Council member, it firmly upholds multilateralism and opposes confrontational geopolitics. It advocates win-win cooperation and the vision of a community with a shared future for mankind, bridging gaps between developing and developed nations.
Having hosted national UN science and peace events, I witness how China’s people-centered diplomacy fosters cross-cultural trust. Its balanced, inclusive diplomatic framework offers a valuable peaceful development model that stabilizes global order and advances grassroots public dialogue worldwide.</t>
  </si>
  <si>
    <t>Young people act as the most authentic grassroots messengers of unofficial diplomacy. Free from rigid official political restrictions, they communicate sincerely on equal terms, conveying ordinary people’s real voices across borders. Through events, online exchanges and volunteer projects, they break deep-rooted cultural prejudices.
Public diplomacy centers on people-to-people connections instead of merely intergovernmental negotiations, prioritizing mutual respect, cultural tolerance and mutual understanding. As someone who has hosted national UN science and peace activities, I deeply recognize its value. Official agreements alone cannot sustain long-term international trust. Youth public diplomacy eliminates misunderstandings, eases cultural conflicts, lays a solid mass foundation for state relations, and continuously pushes forward global long-term peace and cross-border mutual trust.</t>
  </si>
  <si>
    <t>assion refers to lasting inner devotion and consistent enthusiasm for one’s ideals, rather than fleeting momentary excitement. It is the core motivation supporting people through hardships.
My passion for youth public diplomacy drove me to independently host nationwide UN International Week of Science and Peace events. When I faced heavy coordination work, tight schedules and communication obstacles during event preparation, passion kept me persistent instead of giving up. It pushes me to spare extra time learning cross-cultural communication skills and actively seek international exchange platforms. It conquers hesitation and laziness, turns abstract ideals into concrete, steady actions, and steadily guides me to complete each diplomatic and peace-themed goal step by step.</t>
  </si>
  <si>
    <t>I consider myself a creative person, capable of integrating offline large-scale events and new media for cross-cultural communication, proven by my experience hosting national UN science and peace activities.
Effective public diplomacy strategies contain three key parts. First, adopt youth-friendly forms including themed workshops, global online forums and short cultural videos to replace dull formal speeches. Second, fully respect diverse cultural backgrounds, avoid cultural bias and design inclusive themes around science, peace and youth development. Third, combine grassroots offline activities with international summit platforms to expand cross-border influence.
Creativity enables warm, approachable people-to-people communication that transcends political barriers. Unique, sincere exchange methods can widely spread equal, peaceful values and realize genuine mutual understanding among global youth.</t>
  </si>
  <si>
    <t>friends</t>
  </si>
  <si>
    <t>Among all summit modules, youth-led cross-cultural dialogue workshops interest me most. This module gathers young participants from diverse nations to discuss global peace, scientific cooperation and grassroots public diplomacy without official restraints. I love exchanging unique cultural perspectives, brainstorming small-scale international communication projects and simulating people-to-people diplomatic exchanges. It offers practical chances to turn theories into actionable plans, helps me learn peer diplomatic practices worldwide, and lets me build long-term cross-border youth partnerships to spread peace ideas.</t>
  </si>
  <si>
    <t>Alnur Sugralin</t>
  </si>
  <si>
    <t>zhanel.sugralina@gmail.com</t>
  </si>
  <si>
    <t>databoom108@gmail.com</t>
  </si>
  <si>
    <t>+97450700845</t>
  </si>
  <si>
    <t>N15287194</t>
  </si>
  <si>
    <t>+77015963200</t>
  </si>
  <si>
    <t>IMG_0519.jpeg</t>
  </si>
  <si>
    <t>IMG_0038.jpeg</t>
  </si>
  <si>
    <t>High school</t>
  </si>
  <si>
    <t>High school student</t>
  </si>
  <si>
    <t>IB</t>
  </si>
  <si>
    <t>Swiss International School</t>
  </si>
  <si>
    <t>Qatar</t>
  </si>
  <si>
    <t>Yale University, University of Geneva</t>
  </si>
  <si>
    <t>Qatar Animal Welfare Society</t>
  </si>
  <si>
    <t>https://www.qaws.org/newsite/</t>
  </si>
  <si>
    <t>I organized donation for the animals shelter</t>
  </si>
  <si>
    <t>To help the animals shelter</t>
  </si>
  <si>
    <t>Leadership, communication, curiosity</t>
  </si>
  <si>
    <t>Alnur_CV1.docx</t>
  </si>
  <si>
    <t>Yes. I believe meaningful change begins with small actions and consistent effort. In my school community, I organized a donation drive and volunteer visit for the Qatar Animal Welfare Society (QAWS), helping raise awareness about animal welfare and community responsibility. As a mathematics mentor, I support younger students in building confidence and improving their academic skills. I have also developed sustainability-focused projects, including “Cool-Oasis,” a solar-powered device designed to provide chilled water for desert wildlife. Through leadership, volunteering, and innovation, I strive to create positive impact and inspire others to contribute to solutions that benefit both people and the environment.</t>
  </si>
  <si>
    <t>I believe both the United States and Qatar are diplomatically significant because they play influential yet complementary roles in international affairs. The United States remains one of the world’s leading powers, shaping global policy through its economic strength, innovation, and extensive diplomatic network. Qatar, despite its small size, has established itself as a respected mediator and host for international dialogue, facilitating discussions on regional conflicts, humanitarian issues, and global cooperation.
Having lived in Qatar and participated in programmes focused on diplomacy and international relations, I have seen how countries of different sizes can contribute to peace and development. Together, the United States and Qatar demonstrate the importance of collaboration, dialogue, and global leadership in addressing today’s challenges.</t>
  </si>
  <si>
    <t>Youth play a vital role in diplomacy because they bring fresh perspectives, creativity, and a long-term commitment to solving global challenges. In an increasingly interconnected world, young people can build bridges across cultures, promote dialogue, and use technology and social media to foster international understanding. Their voices are especially important in addressing issues such as climate change, sustainability, education, and social inclusion.
I relate strongly to the idea of public diplomacy because many of my experiences involve engaging with people from different backgrounds and representing my community in international settings. Through Model United Nations conferences, the Yale Global Diplomacy Programme, and the Future Sustainability Innovators Programme at the University of Geneva, I have developed a deeper understanding of how dialogue and cooperation can strengthen international relationships. I believe public diplomacy is not limited to governments; it also includes students, volunteers, and young leaders who create connections between people and cultures. By promoting understanding, collaboration, and shared solutions, youth can contribute meaningfully to a more peaceful and cooperative world.</t>
  </si>
  <si>
    <t>Passion is the deep enthusiasm and dedication that drives a person to pursue meaningful goals and continue moving forward despite challenges. It provides motivation, resilience, and a sense of purpose, transforming ambitions into achievements.
Passion plays a significant role in helping me achieve my goals. My passion for engineering, innovation, and sustainability motivates me to participate in robotics competitions, develop projects such as the “Cool-Oasis” device for desert wildlife, and pursue academic opportunities through programs at Yale, Harvard, and the University of Geneva. I am also passionate about long-distance running and have completed multiple half-marathons in Qatar. Through consistent training, I improved my half-marathon time from nearly three hours to 1 hour and 54 minutes, demonstrating discipline and perseverance. In the future, I hope to establish a runners’ club that encourages young people to adopt healthy lifestyles, build resilience, and support one another in achieving personal goals. Passion gives me the determination to grow, lead, and make a positive impact in my community.</t>
  </si>
  <si>
    <t>Yes, I consider myself a creative person because I enjoy finding innovative solutions to real-world challenges. Creativity is not only about art or design; it is also about identifying problems, generating new ideas, and turning them into practical action. For example, I developed the “Cool-Oasis” concept, a solar-powered device designed to provide chilled water for desert wildlife, and collaborated with international peers to create a sustainability-focused device during the Future Sustainability Innovators Programme at the University of Geneva.
I believe creativity can be a powerful tool in public diplomacy. Traditional diplomacy often occurs between governments, but public diplomacy focuses on connecting people, cultures, and communities. Creative approaches such as youth-led initiatives, social media campaigns, cultural exchanges, sports events, and environmental projects can bring people together and foster mutual understanding. As someone passionate about both diplomacy and long-distance running, I hope to establish a runners’ club that welcomes participants from diverse backgrounds. Such initiatives can create meaningful connections, promote intercultural dialogue, and strengthen community engagement. By combining creativity with leadership and communication, public diplomacy becomes more accessible, engaging, and effective in building trust and cooperation across cultures.</t>
  </si>
  <si>
    <t>All related to diplomacy, sustainability, economics</t>
  </si>
  <si>
    <t>NURAY YERKINBEKOVA</t>
  </si>
  <si>
    <t>YERKINBEKOVA NURAY NURAKANKYZY</t>
  </si>
  <si>
    <t>milkyway.silky@gmail.com</t>
  </si>
  <si>
    <t>nurayyy120@gmail.com</t>
  </si>
  <si>
    <t>Akshatau st 544, Shymkent, Kazakhstan</t>
  </si>
  <si>
    <t>kazakh</t>
  </si>
  <si>
    <t>+77755540998</t>
  </si>
  <si>
    <t>N13618671</t>
  </si>
  <si>
    <t>+77770945946</t>
  </si>
  <si>
    <t>https://www.linkedin.com/in/nur-ai-93bb20403?utm_source=share_via&amp;utm_content=profile&amp;utm_medium=member_ios</t>
  </si>
  <si>
    <t>050426600629-20260702191121175.pdf</t>
  </si>
  <si>
    <t>IMG_6999.HEIC, IMG_7056.HEIC, 49debdbd-e95a-4be7-804d-866e420e83c0.JPG</t>
  </si>
  <si>
    <t>Kazakh-German University</t>
  </si>
  <si>
    <t>it was a school in Prague, I was learning general English in jipka jazyková škola</t>
  </si>
  <si>
    <t>idp centre</t>
  </si>
  <si>
    <t>https://idp-ielts.kz/idpinternship2025</t>
  </si>
  <si>
    <t>intern</t>
  </si>
  <si>
    <t>2026</t>
  </si>
  <si>
    <t>leadership, problem-solving, research, public speaking Content writing, social media management,  project management, event organization,  English (B2/C1) , critical thinking, public speaking Photography, graphic design (Canva), content creation,</t>
  </si>
  <si>
    <t>Yerkinbekova_Nuray_CV.docx</t>
  </si>
  <si>
    <t>Yes. I believe meaningful change begins with small, consistent actions. I have contributed by volunteering in environmental initiatives, where I participated in waste sorting and community clean-up activities. I also volunteered as a drawing tutor for children, helping them develop creativity, confidence, and self-expression through art. In addition, I have been actively involved in youth diplomacy and educational events, promoting international cooperation and creating opportunities for young people to learn, connect, and exchange ideas. Through these experiences, I have learned that even small contributions can create a positive impact on individuals and communities.</t>
  </si>
  <si>
    <t>I believe Switzerland is one of the most diplomatically significant countries in the world. Its long-standing policy of neutrality has enabled it to act as a trusted mediator in international conflicts and peace negotiations. Switzerland hosts numerous international organizations, including the United Nations Office in Geneva, the World Health Organization, and the International Committee of the Red Cross, making it a global center for diplomacy and humanitarian cooperation. By providing a platform for dialogue and promoting international law, Switzerland contributes to peaceful conflict resolution and global governance. Its commitment to diplomacy demonstrates how trust, neutrality, and cooperation can strengthen international relations.</t>
  </si>
  <si>
    <t>I believe young people play a vital role in diplomacy because they bring fresh ideas, creativity, and a willingness to cooperate across cultures. In today’s interconnected world, diplomacy is no longer limited to governments and diplomats. Young people can contribute by participating in international exchanges, youth forums, volunteer initiatives, and educational programs that promote dialogue and mutual understanding.
Public diplomacy, in my view, is about building trust and strengthening relationships between people from different countries. It allows individuals to represent their culture, values, and perspectives while learning from others. I strongly relate to this idea because I believe that meaningful international cooperation begins with communication and respect.
As an International Relations student, I have participated in youth diplomacy activities, Model United Nations conferences, and volunteer projects, where I developed communication, teamwork, and intercultural skills. These experiences showed me that even small initiatives can create lasting connections and encourage cooperation between communities.
I hope to continue contributing to public diplomacy by engaging in international programs, promoting cultural exchange, and encouraging dialogue among young people. I believe that the next generation has both the responsibility and the opportunity to build a more peaceful, inclusive, and cooperative world through understanding, collaboration, and active civic engagement.</t>
  </si>
  <si>
    <t>Passion is the inner motivation that inspires people to keep learning, improving, and pursuing their goals despite challenges. It gives purpose to our actions and helps us remain committed even when success does not come immediately. Passion is not only about enjoying what you do but also about being willing to invest time, effort, and perseverance to achieve meaningful results. For me, passion is closely connected to my interest in international relations, diplomacy, and youth engagement. It motivates me to participate in volunteer projects, educational events, and opportunities that allow me to develop new skills and broaden my perspective. Whenever I face obstacles, my passion reminds me why I started and encourages me to continue moving forward.
I believe that passion, combined with discipline and continuous learning, is one of the most important factors in achieving long-term goals. It transforms ambition into action and helps people create a positive impact on their communities and the world.</t>
  </si>
  <si>
    <t>Yes, I consider myself a creative person. Creativity is not only about art or design; it is also about finding innovative ways to communicate ideas, solve problems, and connect with people. Through my experience in youth initiatives, volunteer work, and event organization, I have learned how creativity can make messages more engaging and impactful.
In public diplomacy, creativity is essential for building mutual understanding between cultures. An effective public diplomacy strategy should go beyond formal communication and create meaningful people-to-people connections. For example, cultural exchange programs, social media campaigns, educational projects, and youth-led events can make diplomacy more accessible and relatable to younger generations.
If given the opportunity, I would use creative storytelling and digital platforms to promote intercultural dialogue. Sharing personal experiences, success stories, and cultural traditions through videos, workshops, and interactive discussions can help break stereotypes and encourage empathy. I would also involve young people in the process, as they are often the most effective ambassadors of their communities and values.
I believe creativity strengthens public diplomacy by making communication more authentic, inclusive, and memorable. By combining innovative ideas with meaningful dialogue, it is possible to build trust, foster international cooperation, and create lasting connections between people from different backgrounds.</t>
  </si>
  <si>
    <t>friend to friend</t>
  </si>
  <si>
    <t>International Relations and Global Politics and arts</t>
  </si>
  <si>
    <t>Zahra Sheikh</t>
  </si>
  <si>
    <t>Sheikh Zahra</t>
  </si>
  <si>
    <t>gypsyasal@gmail.com</t>
  </si>
  <si>
    <t>asalharrypotterIT@yahoo.com</t>
  </si>
  <si>
    <t>+80 1039182876</t>
  </si>
  <si>
    <t>K61802870</t>
  </si>
  <si>
    <t>+98 9122475661</t>
  </si>
  <si>
    <t>WhatsApp Image 2026-07-05 at 2.38.44 PM.jpeg</t>
  </si>
  <si>
    <t>Asal-Untitled.png</t>
  </si>
  <si>
    <t>Mater</t>
  </si>
  <si>
    <t>Kyung Hee University</t>
  </si>
  <si>
    <t>South Korea</t>
  </si>
  <si>
    <t>United Nations Information Centre (UNIC)</t>
  </si>
  <si>
    <t>https://www.un.org/en/authors-og-936/unic-tehran</t>
  </si>
  <si>
    <t>Communication&amp; PR Intern</t>
  </si>
  <si>
    <t>6 Month</t>
  </si>
  <si>
    <t>Writing,Debating</t>
  </si>
  <si>
    <t>(ZAHRA SHEIKH) CV.pdf</t>
  </si>
  <si>
    <t>I come from a region where conflict is never just a headline, but it’s reality. I think that’s what first drew me to diplomacy—the belief that bridges can be built even in the most divided spaces. But of course, I didn’t always feel like this. I grew up just as much as any normal kid, but maybe with one difference compared to many of my peers in other countries: the sound of the television was always loud and clear in our household. Watching the news and following politics was a major part of my father’s daily life because he was a businessman. Since a young age, I grew up with the idea that whatever happened in the international community would have a direct impact on our home. It would either make my father happy or very sad. So when I grew up, I thought that if I wanted to contribute positively and improve society, I could start by becoming the voice of the public. That is why I chose to study journalism.</t>
  </si>
  <si>
    <t>While I fundamentally believe that there is no "better or superior" country exist in terms of diplomacy, I might lean a bit toward South Korea as I believe it beautifully embodies the cultural diplomacy and peace through it. Born through war and still living with the division, South Korea stands today as one of the world’s leading examples of cultural diplomacy. Instead of allowing conflict to define its identity, it has used culture to connect people around the world. I thought to myself that I wouldn’t find a better teacher than South Korea to learn about peace and cultural diplomacy that can connect nations together and I think thats why I'm here today. learning from the bests.</t>
  </si>
  <si>
    <t>To be honest, I believe young people are among the most important actors in public diplomacy because they shape how societies understand one another. Especially in today’s world, where the power of media has become stronger than ever, one TikTok video or a post on X can influence public opinion and even change the course of events. More than ever before, young people have the ability to connect with others beyond borders and bring different perspectives closer together.
As mentioned earlier, my own journey began with journalism, where I believed that informing people could contribute to positive change. Later on, I was presented with the opportunity to work at the Communication Office of the United Nations in Iran, where information and education begin. I did not hesitate to become an intern and contribute to the Sustainable Development Goals in my own capacity.
Those six months at the United Nations were among the most fruitful periods of my life. I grew beyond my academic knowledge and gained a deeper understanding of politics and the idea of our world as a global village. I realized how inseparably connected we are to one another and, as the beloved poet of my country would say, “Human beings are members of a whole.” I came to appreciate that challenges faced by one country often affect many others. This experience reinforced my belief that diplomacy begins with ordinary people who are willing to listen, communicate, and cooperate across cultures.
However, what left the greatest impression on me was not only the work itself, but also the young people working beside me. They were interns just like me, each trying to contribute to change in their own capacity. Witnessing so many like-minded young people, each bringing their own ideas, compassion, and determination, made me realize how much potential our generation holds. Whether it is because we are more connected through global media or because we have learned from the mistakes of previous generations, I believe today’s youth have greater flexibility, understanding, and empathy toward one another.
And I believe these are exactly the qualities our world needs right now: understanding, flexibility, and compassion.</t>
  </si>
  <si>
    <t>To be honest, I think passion is what keeps you moving when comfort tells you to stay where you are and I think if one ere to tell my story, they would realize I'm one who always run with my passion rather than anything else. If I had to break it down, just around nearly three years ago I to took a role and expanded my horizons, on the bilateral level between my home country and Malaysia. I had the honor, humbly speaking, to contribute to the friendly relations between Iran and Malaysia through my work at the Embassy of Malaysia in Tehran. Those three years not only gave me hands-on experience in diplomacy, but also convinced me even more that before that no country can truly survive and grow alone. We need one another.
Carrying this belief within me, when my country came under attack by Israel back in 2025, I was struck by the realization that my role in bringing about change was still too small and was only on the bilateral level. For the first time, I asked myself whether I was truly doing enough. That question stayed with me.
So I made what was probably the hardest decision of my life. I let go of everything. my career, the stability I had built, and the life I knew and decided to move to South Korea. I chose Korea because I believes as I said before that it beautifully embodies cultural diplomacy. I thought to myself that I wouldn’t find a better teacher than South Korea to teach me about peace and cultural diplomacy.
A year ago, I embarked on this journey as a GKS scholar, first by challenging to learn a language, the Korean language which I as complete alien with and later to start the journey of my International studies.  My journey till now hasn't been easy to be honest, It has been filled with obstacles and hardship, whether it is the language itself or the doubt to myself if I did the right thing to leave home and its safety, running for peace which seems harder to achieve these days, but as Korean would say, 초지일관. To remember always why we started. I started with a hope that one day I can advocate for peace for my country and the Middle East, hoping that one day, the sound of music will be louder in children’s homes than the sound of political conflict was in mine.</t>
  </si>
  <si>
    <t>To be honest, I never thought of creativity as something limited to art or music. To me, creativity is finding new ways to connect people who otherwise would never understand one another. Looking back, I think every step of my journey has revolved around communication. I first chose journalism because I believed stories could become the voice of ordinary people and contribute to positive change. Later, during my internship at the Communication Office of the United Nations in Iran, I saw how information and education could inspire people to take action in their own communities. After graduation, working at the Embassy of Malaysia showed me another side of communication. I had the opportunity to contribute to cultural events, interpretation, and strengthening the friendly relations between my home country and Malaysia. It made me realize that diplomacy does not only happen behind closed doors. Sometimes it happens through a conversation, a cultural event, or simply helping people understand one another a little better.
If I were to turn this into a public diplomacy strategy, I would use storytelling, media, and cultural exchange to bring young people from different countries together. I believe political disagreements often begin with misunderstanding, and understanding begins by listening to each other’s stories. If communication has the power to divide people, I also believe it has the power to bring them together. That is the kind of public diplomacy I hope to contribute to in the future.</t>
  </si>
  <si>
    <t>Social media pop-ups</t>
  </si>
  <si>
    <t>Darya Gorbulicheva</t>
  </si>
  <si>
    <t>daryagorbulicheva@gmail.com</t>
  </si>
  <si>
    <t>funeoneone33@gmail.com</t>
  </si>
  <si>
    <t>Baitursynov Street 72, Almaty, Kazakhstan</t>
  </si>
  <si>
    <t>+7 700 111 5266</t>
  </si>
  <si>
    <t>N15000539</t>
  </si>
  <si>
    <t>+7 701 721 4366</t>
  </si>
  <si>
    <t>https://www.linkedin.com/in/darya-gorbulicheva/</t>
  </si>
  <si>
    <t>Darya_Gorbulicheva_Passport.pdf</t>
  </si>
  <si>
    <t>Darya_Gorbulicheva_Profile_Picture.JPG</t>
  </si>
  <si>
    <t>Goethe-Institut Bonn (DAAD Language Course)</t>
  </si>
  <si>
    <t>Ashyq Jurek</t>
  </si>
  <si>
    <t>https://ashyqjurek.kz/#home</t>
  </si>
  <si>
    <t>Deputy Head of Document Management Department</t>
  </si>
  <si>
    <t>2 months</t>
  </si>
  <si>
    <t>Youth Diplomacy, Project Coordination, Document Management, Leadership, Public Speaking, Event Organization</t>
  </si>
  <si>
    <t>Darya_Gorbulicheva_CV.docx</t>
  </si>
  <si>
    <t>Honestly, I am at the very beginning of my journey and cannot claim a massive global impact yet. Right now, my focus is on self-education. I am actively researching literature to understand gender issues deeply and develope the emerging "Women Go" project and contributing to the "Gender Equality Wff Kazakhstan" team. I join these initiatives to be useful where I can and to learn from the inside. Moving forward, I plan to leverage this knowledge practically as a diplomacy specialist, using international platforms to advocate for women’s rights and build a more equitable world.</t>
  </si>
  <si>
    <t>In my opinion, the United States and China are the two most diplomatically significant countries in today's world. As the world's largest economies and key global actors, their decisions shape international security, trade, technological development, and responses to global challenges. As Henry Kissinger argues in "World Order", a stable international system depends on constructive relations between the United States and China. I believe that responsible diplomacy between major powers is essential for maintaining global stability and addressing challenges that no country can solve alone.</t>
  </si>
  <si>
    <t>Today, young people are unequivocally the future of diplomacy and essential players in shaping international relations. I firmly believe that through academic exchanges, volunteering, international forums, networking, and digital communication, youth can build trust, promote intercultural dialogue, tackle global challenges, and create a lasting impact. As the generation that grew up in an interconnected world, young people have a unique ability to bridge cultures. Public diplomacy, in my view, goes beyond simply representing national interests because it is about creating genuine mutual understanding between societies. This understanding can only be achieved through education, cultural initiatives, people-to-people exchanges, and open dialogue. My active involvement in youth diplomacy initiatives, volunteering, and international educational programs has shown me that sustainable partnerships stem from personal relationships, shared experiences, and mutual respect. These experiences have strengthened my leadership and communication skills while reinforcing my commitment to international cooperation.
To sum up, I see public diplomacy as a powerful instrument for reducing stereotypes, strengthening mutual trust, encouraging collaboration, and creating opportunities for future generations. As a motivated young person, I am determined to develop in youth diplomacy by promoting dialogue and representing Kazakhstan with professionalisma.</t>
  </si>
  <si>
    <t>For me, passion is the driving force that transforms ambitions into actions. It is a long-term commitment to continuous learning and personal growth. I believe that passion provides resilience during challenges and pushes forward to keep moving even when progress is slow. My passion lies in international relations and youth diplomacy. It has encouraged me to volunteer in social initiatives, participate in youth diplomacy projects, improve my foreign language skills, and seek educational opportunities. 
Every experience has shaped who I am today, helping me develop new skills, broaden my perspective, and strengthen my will to build connections between people from different cultures. Passion also helps me set clear goals and remain focused on achieving them. It inspires me to embrace new challenges, learn from diverse experiences, and continuously improve myself. I am convinced that when passion is combined with dedication and hard work, it becomes a powerful force for personal development.</t>
  </si>
  <si>
    <t>I consider myself a creative person because I love exploring new ideas and experiences, as well as discovering different perspectives on the world. My curiosity allows me to find almost everything interesting, making me feel like an explorer. To me, creativity involves being open-minded, adventurous, curious, and willing to step outside my comfort zone. In the context of public diplomacy, creativity is crucial for engaging diverse audiences and making international cooperation more accessible. Initiatives such as social media campaigns, cultural festivals, educational exchanges, and storytelling can serve as powerful diplomatic tools. When these initiatives are combined with authenticity, they help strengthen relationships between countries. I enjoy developing ideas that make communication more engaging. For me, creativity means finding simple yet effective ways to connect with people, encourage dialogue, and present important messages in a way that resonates with different audiences. If given the opportunity, I would create public diplomacy initiatives that blend cultural exchange and youth engagement. Empowering young people to share their stories and collaborate is one of the most effective ways to build a more peaceful and inclusive community.</t>
  </si>
  <si>
    <t>A friend recommended the program to me</t>
  </si>
  <si>
    <t>The Youth Innovation &amp; Policy Labs</t>
  </si>
  <si>
    <t>İZZEDDİN Alnajjar</t>
  </si>
  <si>
    <t>IZZEDDIN GHASSAN MUSTAFA ALNAJJAR</t>
  </si>
  <si>
    <t>azalden2006@gmail.com</t>
  </si>
  <si>
    <t>Kocaeli İzmit Turgut mahallesi cihan Sokak 54/9 ana sultan apartmanı, İzmit, Türkiye</t>
  </si>
  <si>
    <t>+905441543086</t>
  </si>
  <si>
    <t>10315042</t>
  </si>
  <si>
    <t>https://www.instagram.com/azz_g_alnajjar?igsh=NGQzNzUwNmlvbDkw&amp;utm_source=qr</t>
  </si>
  <si>
    <t>جواز السفر الجديد 2.pdf</t>
  </si>
  <si>
    <t>CD1E6E02-05A7-4131-84C0-67329ECB781E.jpeg</t>
  </si>
  <si>
    <t>Bachelors of Management Information Systems</t>
  </si>
  <si>
    <t>Management Information Systems</t>
  </si>
  <si>
    <t>İstanbul gelişim üniversitesi</t>
  </si>
  <si>
    <t>Yes – Filistin Öğrencileri Derneği (FÖDERN).</t>
  </si>
  <si>
    <t>Communication skills, Teamwork, Problem-solving, Time management, Basic computer skills, Microsoft Office, Data organization, Research skills, Adaptability, Willingness to learn</t>
  </si>
  <si>
    <t>Izzeddin_Alnajjar_CV.docx</t>
  </si>
  <si>
    <t>Yes, I have thought about changing the world, but I believe real change starts with small actions. As a first-year Management Information Systems student, I try to make an impact by participating in student volunteering initiatives and university meetings, where I practice teamwork, communication, and collaboration. I also try to support my peers by sharing ideas, encouraging positive dialogue, and learning how technology and data organization can solve real problems. My goal is to keep developing myself so I can contribute to youth leadership, cultural exchange, and digital transformation in my community and beyond.</t>
  </si>
  <si>
    <t>I believe Indonesia is a diplomatically significant country because it represents diversity, dialogue, and cooperation. It connects many cultures, religions, and communities, which makes it a strong example of peaceful coexistence. Indonesia also has an important regional and international role, especially in promoting understanding among nations and supporting youth engagement. Hosting the Youth Public Diplomacy Summit in Jakarta reflects its ability to bring young people together to discuss global issues, cultural exchange, and cooperation. For me, Indonesia is important because it shows how culture, respect, and communication can become powerful tools in diplomacy.</t>
  </si>
  <si>
    <t>Youth play an important role in diplomacy because they represent the future of communication, cooperation, and peacebuilding. Young people are more connected to technology, social media, and global conversations, which allows them to share ideas across borders and build understanding between cultures. They can also challenge stereotypes, promote tolerance, and create new solutions for social and international issues.
As a Management Information Systems student, I relate to public diplomacy through my interest in technology, digital transformation, and cross-cultural communication. Public diplomacy is not only about governments; it is also about people, students, and communities building positive relationships. I believe youth can support public diplomacy by participating in international programs, student events, volunteering, and online dialogue.
For me, public diplomacy means representing my background positively, listening to others, and learning from different cultures. My student experience has taught me that teamwork, research, and respectful communication can create trust between people. Through this summit, I hope to learn from young leaders, share my perspective, and become more active in global youth cooperation while contributing to a more respectful and connected world.</t>
  </si>
  <si>
    <t>Passion is the inner motivation that pushes a person to continue learning, improving, and working toward meaningful goals. It gives energy during challenges and helps turn ideas into real actions. For me, passion is connected to technology, youth leadership, and cultural exchange. As a first-year Management Information Systems student, I am passionate about understanding how digital tools, data organization, and management systems can improve people’s lives.
Passion helps me achieve my goals because it keeps me committed to learning new skills, such as communication, research, teamwork, and problem-solving. It also encourages me to participate in student activities and international programs where I can grow personally and professionally. When passion is combined with discipline and a willingness to learn, it becomes a strong force for success and positive impact.</t>
  </si>
  <si>
    <t>Yes, I consider myself a creative person because I try to think of simple and practical ways to communicate ideas, solve problems, and connect with people. Creativity is not only about art; it is also about finding new methods to build understanding and cooperation. As a Management Information Systems student, I am interested in using technology, data organization, and digital communication to support meaningful messages.
Creativity can become an effective public diplomacy strategy when it is used to present cultures, stories, and values in a clear and engaging way. For example, youth can use social media campaigns, digital presentations, student events, and online discussions to promote dialogue between communities. Creative communication can reduce misunderstandings, challenge stereotypes, and make diplomacy more accessible to young people.
I believe my creativity, combined with teamwork, research, and cross-cultural communication, can help me contribute to public diplomacy. By listening to others and presenting ideas respectfully, I can support cultural exchange and positive international relations. I also believe creative youth can make global issues easier to understand, especially when they use technology to share positive stories and encourage cooperation.</t>
  </si>
  <si>
    <t>Palestinian Youth Forum on Facebook</t>
  </si>
  <si>
    <t>Muhammed Salahoğlu</t>
  </si>
  <si>
    <t>omar6didi6@gmail.com</t>
  </si>
  <si>
    <t>istanbul, Kocasinan Merkez, Ordu Cd. No:15, 34186 Bahçelievler/İstanbul, istanbul, Türkiye</t>
  </si>
  <si>
    <t>palestinian and turky</t>
  </si>
  <si>
    <t>+905304414837</t>
  </si>
  <si>
    <t>U33450340</t>
  </si>
  <si>
    <t>+905013449311</t>
  </si>
  <si>
    <t>https://www.instagram.com/shallah.12?igsh=N3ZpdGF5OWxjejY4</t>
  </si>
  <si>
    <t>WhatsApp Image 2026-07-05 at 13.35.49.jpeg</t>
  </si>
  <si>
    <t>WhatsApp Image 2026-07-05 at 13.42.34.jpeg</t>
  </si>
  <si>
    <t>Bechelor of Trade</t>
  </si>
  <si>
    <t>Istanbul Zaim University</t>
  </si>
  <si>
    <t>Turkiye</t>
  </si>
  <si>
    <t>A simple knowledge</t>
  </si>
  <si>
    <t>yes Yes, with the Palestine Students Association (fidern)</t>
  </si>
  <si>
    <t>Volunteer member</t>
  </si>
  <si>
    <t>2 Years</t>
  </si>
  <si>
    <t>Graphic design, working with computers, and content creation</t>
  </si>
  <si>
    <t>Muhammed_CV_Same_Template.docx</t>
  </si>
  <si>
    <t>Yes, I have. I believe that changing the world begins with making a positive impact on the people around us. As a volunteer with the Palestinian Students Association (FODERN), I contributed to organizing university events that strengthened student engagement and promoted cultural awareness. I also supported the association by creating graphic designs, managing event activities, writing content for our website, and documenting events through photography.
Beyond my volunteer work, I always try to encourage teamwork, support new students, and create an inclusive environment where everyone feels welcome. Although these actions may seem small, I believe meaningful change starts at the community level. My goal is to continue developing my leadership skills and use international opportunities, such as this conference, to learn from others, share my experiences, and contribute to solutions that create a more connected and understanding world.</t>
  </si>
  <si>
    <t>In my opinion, Switzerland is one of the most diplomatically significant countries in the world. Despite its relatively small size, it has earned global respect through its long-standing neutrality, commitment to peace, and role as a host for many international organizations, including the United Nations and the International Committee of the Red Cross. Switzerland has facilitated important peace negotiations and promoted dialogue between nations during times of conflict. I believe its approach proves that diplomacy is built on trust, cooperation, and mutual respect rather than power alone. This is the kind of diplomacy that inspires young leaders like me to contribute to a more peaceful world.</t>
  </si>
  <si>
    <t>Youth play a vital role in diplomacy because they bring fresh ideas, creativity, and a strong commitment to solving global challenges. As the next generation of leaders, young people have the ability to promote dialogue, build bridges between cultures, and encourage cooperation across borders. Through education, volunteer work, and international exchanges, youth can help create more peaceful and inclusive societies.
I strongly relate to the idea of Public Diplomacy because I believe that diplomacy is not limited to governments and diplomats. Every individual has the power to represent their community and country through their actions, values, and communication. As a student of International Trade and an active volunteer with the Palestinian Students Association (FODERN), I have participated in organizing cultural and educational events that brought students from different backgrounds together. I also contributed through graphic design, photography, and content writing to promote engagement and mutual understanding within our university community.
For me, public diplomacy is about creating meaningful connections, challenging stereotypes, and encouraging respectful dialogue. By participating in international conferences, I hope to exchange ideas, learn from diverse perspectives, and share my own experiences. I believe that when young people collaborate across cultures with respect and openness, they become powerful ambassadors for peace, understanding, and sustainable global cooperation</t>
  </si>
  <si>
    <t>Passion is the inner motivation that drives a person to work hard, overcome challenges, and continue learning despite difficulties. It gives purpose to our actions and inspires us to make a positive difference in the lives of others. I believe that passion is not just about having a dream; it is about taking consistent steps to turn that dream into reality.
My passion lies in international cooperation, youth leadership, and community engagement. As an International Trade student and a volunteer with the Palestinian Students Association (FODERN), I have actively contributed to organizing events, creating graphic designs, writing content, and supporting activities that bring students together. These experiences have strengthened my leadership, communication, and teamwork skills.
Passion helps me stay focused on my goals, even when I face obstacles. It encourages me to seek new learning opportunities, participate in international conferences, and connect with people from different cultures. I believe that with passion, dedication, and continuous growth, I can make a meaningful contribution to society and become a responsible global leader.</t>
  </si>
  <si>
    <t>Yes, I consider myself a creative person because I enjoy finding innovative ways to communicate ideas and connect with people. Creativity is not only about producing art; it is also about solving problems, inspiring others, and presenting messages in ways that leave a lasting impact. Through my volunteer work with the Palestinian Students Association (FODERN), I have used creativity in graphic design, photography, content writing, and event organization to engage students and encourage participation in cultural and educational activities.
I believe creativity is a powerful tool for public diplomacy. In today's digital world, visual storytelling, social media campaigns, and cultural events can build understanding between people from different backgrounds more effectively than formal speeches alone. If given the opportunity, I would develop creative public diplomacy initiatives that highlight cultural diversity, encourage dialogue, and promote mutual respect through digital content, student exchanges, and community events.
An effective public diplomacy strategy should focus on authentic communication, active listening, and collaboration. By combining creativity with leadership and intercultural communication, I hope to create projects that connect people, challenge stereotypes, and strengthen international friendships. I believe that small creative actions, when shared with a wider audience, can inspire positive change and contribute to a more peaceful and cooperative global community.</t>
  </si>
  <si>
    <t>From ‎palestinian youth forum</t>
  </si>
  <si>
    <t>Anastasia Qarawani</t>
  </si>
  <si>
    <t>Anastasia Maher Qarawani</t>
  </si>
  <si>
    <t>anna.qarawani@gmail.com</t>
  </si>
  <si>
    <t>anastasia.qarawani@asp.ps</t>
  </si>
  <si>
    <t>Surda, Main Street, Next to National Library, Ramallah West Bank, Ramallah, Palestinian territories</t>
  </si>
  <si>
    <t>+972597494061</t>
  </si>
  <si>
    <t>10530529</t>
  </si>
  <si>
    <t>+972598460307</t>
  </si>
  <si>
    <t>https://www.instagram.com/anna_qarawani/</t>
  </si>
  <si>
    <t>Passport (1) (1).pdf</t>
  </si>
  <si>
    <t>Anastasia Qarawani.jpeg</t>
  </si>
  <si>
    <t>Intercultural Communication and Literature</t>
  </si>
  <si>
    <t>Arab American University - Palestine</t>
  </si>
  <si>
    <t>High school teacher and freelance writer</t>
  </si>
  <si>
    <t>Writer</t>
  </si>
  <si>
    <t>CV Anastasia Qarawani.pdf</t>
  </si>
  <si>
    <t>Yes, I have always believed that changing the world begins with changing a child's inner world. As a Palestinian author, I write bilingual children's books that address difficult themes like loss and resilience, because children deserve honest stories rather than silence. My book Kozi was translated into four languages, carrying Palestinian voices across borders. As an educator, I design curricula that teach students to think critically about their world, and I create podcast content that reaches families beyond the classroom. My impact grows quietly, one story and one child at a time.</t>
  </si>
  <si>
    <t>I believe Slovenia has a significant diplomatic experience worth reflecting on. Its democratic tradition is deeply rooted, reaching back to the civic movements and political programmes of the nineteenth century. In 1991, this small nation achieved independence in a remarkably smooth way, built a stable democracy, and earned membership in the European Union. With no history of colonialism or aggression, its voice carries rare moral weight. In 2024, Slovenia recognized the State of Palestine and continued supporting UNRWA when others withdrew. Slovenia proves that principled diplomacy, consistency, and respect for international law can matter more than size or power.</t>
  </si>
  <si>
    <t>Youth's role in diplomacy is often reduced to symbolic participation, a seat at a conference or a photo at a summit. I see it differently. Young people shape diplomacy structurally, because they are the primary producers and consumers of the narratives that now drive international opinion. Foreign policy today is contested on platforms where youth set the tone, faster than any foreign ministry can respond. A state that ignores this loses the argument before it begins.
This is why public diplomacy interests me as a field of practice, not a slogan. My understanding of it comes from working with narrative under constraint. As a Palestinian writer, I know that my people's story is usually told by others, filtered through crisis coverage. My children's books, one translated into four languages, are my attempt to reclaim part of that narrative through literature rather than argument, addressing readers who may never meet a Palestinian.
Public diplomacy, to me, is the long work of building credibility: through culture, education, and honest self-representation, not propaganda.</t>
  </si>
  <si>
    <t>For me, passion is the mysterious call that accompanies a person from early childhood. It is the secret companion, a translucent friend, that manifests in various forms. Sometimes as a voice, sometimes as a feeling. It comes at night as a dream, or during the day as a mysterious feeling of nostalgia for something unexplainable. Passion is the spirit that holds your faith in humanity. Passion is what makes you different from machines no matter how intelligent they'll become. Passion is what makes you human, and thus without it, people fall into the abyss.  If you have passion you will find goals, the tools to make them come true, and the energy to keep going.</t>
  </si>
  <si>
    <t>I think I am a creative person. I am a writer, and creating stories and books is my breathing in this world. It all started as a magical gift when I was young. A gift that brings the colorful worlds in my head alive. But then my world began expanding, and I discovered the multiple realities of life. Humanity – limitless ingenuity, unbearable fragility, and unspeakable cruelty all at once. Creativity can be a double-edged sword. It invents possibilities of all kinds – dark or bright. As I grew up, I realized that our gifts are nothing but doors of possibilities that we can create. For me, books are no longer magical stories, but powerful narratives that can transform minds and thus realities.</t>
  </si>
  <si>
    <t>Soft, Smart, and Hard Power and Strategic Communication</t>
  </si>
  <si>
    <t>ibrahim Sehweil</t>
  </si>
  <si>
    <t>IBRAHIM S. I. SEHWEIL</t>
  </si>
  <si>
    <t>ibrahimsehweil10@gmail.com</t>
  </si>
  <si>
    <t>SADDAMSEHWEIL@gmail.com</t>
  </si>
  <si>
    <t>Başakşehir, BAŞAKŞEHIR SARIÇAM SK 2B /9GÜNEYCE B BLOK(54) AP - BAŞAKŞEHİR İSTANBUL - BAŞAKŞEHİR, Başakşehir, Türkiye</t>
  </si>
  <si>
    <t>FİLİSTİN</t>
  </si>
  <si>
    <t>+905524636286</t>
  </si>
  <si>
    <t>5680270</t>
  </si>
  <si>
    <t>+90 552 246 48 18</t>
  </si>
  <si>
    <t>IMG_0740.jpeg</t>
  </si>
  <si>
    <t>IMG_8930.jpeg</t>
  </si>
  <si>
    <t>Bachelor’s</t>
  </si>
  <si>
    <t>Bachelor’s Degree</t>
  </si>
  <si>
    <t>New Media and Communication</t>
  </si>
  <si>
    <t>İstanbul Yeni Yüzyıl Üniversitesi</t>
  </si>
  <si>
    <t>Palestinian Media Foundation (FIMED)</t>
  </si>
  <si>
    <t>https://fimed.tr/ar</t>
  </si>
  <si>
    <t>News Editor and Media Volunteer</t>
  </si>
  <si>
    <t>News Editing, Journalism, Media, Photography, Content Writing, Social Media Management</t>
  </si>
  <si>
    <t>Professional Modern CV Resume.png</t>
  </si>
  <si>
    <t>Yes. I have always believed that meaningful change begins with individual responsibility. As a Palestinian from Gaza, I witnessed how important truthful and responsible media can be during times of conflict. This inspired me to volunteer as a News Editor and Media Volunteer at FIMED, where I contributed to editing and publishing news, helping communicate the realities and humanitarian challenges faced by people in Gaza. Through this work, I learned that accurate information can raise awareness, encourage empathy, and give a voice to those whose stories are often unheard. Alongside my studies and professional training, I continue to improve my media skills because I believe ethical journalism and responsible communication can build understanding, promote dialogue, and create a positive impact in society.</t>
  </si>
  <si>
    <t>I believe Türkiye is one of the most diplomatically significant countries in the world. Its unique location between Europe and Asia allows it to connect different cultures, regions, and political interests. Türkiye has often played a mediating role in regional and international issues while hosting millions of refugees and supporting humanitarian efforts. As a student living in Türkiye, I have seen how cultural diversity and international cooperation are encouraged. I believe diplomacy is about building dialogue and mutual understanding, and Türkiye’s active engagement in international affairs makes it an important bridge between nations.</t>
  </si>
  <si>
    <t>I believe young people are one of the most important forces in diplomacy today. Through education, media, technology, and cultural exchange, they can build bridges between societies and promote understanding instead of division. Public diplomacy is not limited to governments; it also includes students, journalists, volunteers, and content creators who influence how people understand each other.
As a New Media and Communication student and a News Editor at FIMED, I see public diplomacy as a responsibility. Through my volunteer work, I have contributed to editing and publishing news that highlights humanitarian issues and helps present accurate information about the realities faced by people in Gaza. I believe responsible journalism can encourage dialogue, challenge misinformation, and give a voice to communities that are often overlooked.
In the future, I hope to use my media skills to strengthen international understanding, promote intercultural communication, and support peace through truthful and ethical communication. I believe every young person has the ability to create a positive impact, and public diplomacy provides an important platform to achieve that goal.</t>
  </si>
  <si>
    <t>Passion is the inner motivation that gives purpose to our efforts and encourages us to keep moving forward despite challenges. For me, passion is the desire to learn, improve, and make a positive impact through media and communication. It has motivated me to study New Media and Communication, volunteer as a News Editor at FIMED, and participate in professional training in photography and social media. Every new experience helps me grow both personally and professionally. My passion reminds me that success is not achieved overnight but through continuous learning, dedication, and hard work. In the future, I hope to use my knowledge and skills to contribute to ethical journalism, public diplomacy, and meaningful communication that promotes understanding between people and supports positive change in society.</t>
  </si>
  <si>
    <t>Yes, I consider myself a creative person. Creativity, to me, is not only about producing new ideas but also about finding meaningful ways to communicate with people. As a New Media and Communication student, I have learned that media can build bridges between cultures when it is used responsibly. Through my volunteer work at FIMED, I have contributed to creating and editing content that highlights humanitarian issues and presents stories in a clear and responsible way.
I believe creativity can become an effective public diplomacy strategy by using storytelling, digital media, photography, and social media to encourage dialogue, increase understanding, and connect people from different backgrounds. Creative content has the power to overcome language and cultural barriers while promoting empathy and mutual respect.
In the future, I hope to develop media projects that showcase diverse cultures, amplify underrepresented voices, and encourage peaceful communication. I believe that creativity, combined with ethical journalism and responsible communication, can strengthen public diplomacy and contribute to a more informed and connected world.</t>
  </si>
  <si>
    <t>Palestinian Youth Forum</t>
  </si>
  <si>
    <t>Sundus Shukur</t>
  </si>
  <si>
    <t>Sundus Ali Hussein Shukur</t>
  </si>
  <si>
    <t>sundusa.shukur@uokufa.edu.iq</t>
  </si>
  <si>
    <t>sundus.ali17@yahoo.com</t>
  </si>
  <si>
    <t>al-Adala, Kufa, Please select, Iraq</t>
  </si>
  <si>
    <t>+9647805987451</t>
  </si>
  <si>
    <t>A19798988</t>
  </si>
  <si>
    <t>+9647826072824</t>
  </si>
  <si>
    <t>Passport and Previous Visas.pdf</t>
  </si>
  <si>
    <t>Picture.pdf</t>
  </si>
  <si>
    <t>PhD students</t>
  </si>
  <si>
    <t>PhD in engineering</t>
  </si>
  <si>
    <t>Engineering , climate change , heritage conservation</t>
  </si>
  <si>
    <t>Cardiff university</t>
  </si>
  <si>
    <t>UK</t>
  </si>
  <si>
    <t>yes, I am lecturer and researcher</t>
  </si>
  <si>
    <t>Tawa organization, Iraqi climate national team</t>
  </si>
  <si>
    <t>climate educator</t>
  </si>
  <si>
    <t>Iraqi ministry of higher education and scientific research</t>
  </si>
  <si>
    <t>Climate literacy</t>
  </si>
  <si>
    <t>engineering, leadership, negotiation, education</t>
  </si>
  <si>
    <t>Sundus_Shukur_CV.pdf</t>
  </si>
  <si>
    <t>Yes.  I was a Project Manager for the ICRC, where I managed to gain access to conflict-affected communities in nine governorates of Iraq and delivered water and sanitation infrastructure in places where humanitarian actors had been denied access. I have negotiated with armed groups, undergone security checks, gained the confidence of local authorities – all of which resulted in new education for more than 400 girls in Jarf al-Sakar and water systems for 50,000 displaced persons. My winning entry in the 2022 ICRC Innovation Competition for a wastewater reuse system demonstrated that we can scale solutions designed with vulnerable communities globally. I didn’t wait for systemic change, I created the conditions for it through direct engagement and relationship building in contexts where diplomacy is survival.</t>
  </si>
  <si>
    <t>The very reason why Iraq is of diplomatic importance is that it is underestimated. Iraq is caught between regional powers and is strategically important in terms of water governance, energy security and the preservation of cultural heritage. But its potential is limited by institutional fragmentation and legacy of conflict. I have negotiated humanitarian access across Iraq’s governorates knowing that its diplomatic voice based on heritage stewardship, water innovation and youth-led climate action is still nascent at international tables. I am working through the Ishtar Project with Nottingham Trent University to establish Iraqi expertise in heritage conservation as a global model for post-conflict reconstruction. The diplomatic value of Iraq is to be able to turn suffering into solutions.</t>
  </si>
  <si>
    <t>Young people have a special diplomatic advantage. We inherit the consequences of decisions made by previous generations, which makes our accountability and credibility more acute. We work in institutional networks, in digital networks, in ways that formal diplomacy cannot. We can build trust where traditional diplomats can't go – in conflict zones, marginalized communities, heritage sites under threat. We do not aim to duplicate the diplomacy of the state, but rather to lay the relational groundwork upon which lasting agreements are made.
I define public diplomacy as the deliberate effort to foster mutual understanding between peoples through face-to-face contact, cultural exchange, and collaborative problem solving. In my work negotiating humanitarian access in areas of armed conflict, I practiced public diplomacy every day: I heard community concerns, I translated technical solutions into locally meaningful language, I showed that outsiders could keep commitments. When girls went back to school in Jarf al-Sakar, that was public diplomacy — proof that different worlds could cooperate for shared dignity.
As Head of the Erasmus+ Programme Unit, I am helping to build youth-to-youth diplomatic bridges between Iraqi and UK universities. I frame heritage conservation not as a technical discipline, but as a diplomatic practice—a shared commitment to protecting the stories and structures that bind communities together. Youth diplomacy works best when it has a real relationship, clear negotiations, and real impact. I'm for all three of them.</t>
  </si>
  <si>
    <t>Passion is not emotion, it is the sustained commitment to a vision in the face of overwhelming structural resistance. I'm passionate about water governance, heritage preservation and gender-responsive climate adaptation not because these topics make me feel good, but because I've seen the consequences of their absence with my own eyes: girls denied education, communities drinking contaminated water, historic buildings collapsing under climate stress.
My passion turns into action. I negotiated my way into conflict zones when security advisors told me not to. I designed award-winning waste water systems. I’m working on a gender-responsive climate curriculum at my university. I am Chair of the National Climate Change Team. Passion without strategy is sentiment. Passion with specific goals, sustained through setbacks, and measured by impact is power.
I have not yet made the sacrifices that will take decades to achieve my goals: to split Iraq’s water management systems, to train engineers about climate literacy, to raise Iraq’s voice in global governance. Passion is what keeps us committed when progress is slow. It is the power that turns technical skills into transformational leadership.</t>
  </si>
  <si>
    <t>I am creative out of necessity, not temperament. Working in conflict zones with limited budgets and security constraints forced me to be creative. My wastewater reuse system, which won the ICRC Innovation Competition, was creative not because it was aesthetically novel but because it solved a genuine problem (water scarcity + sanitation + energy access) in a context where conventional infrastructure could not survive. Creativity in conflict is changing constraints into possibilities.
I use this principle as a public diplomacy strategy in a systematic way. The Ishtar Project, a UK-Iraq partnership on climate-impacted heritage buildings, was not conceived as an academic exercise but as a platform for dialogue. Pakistani and UK researchers working with Iraqi heritage teams in conflict-affected cities become implicit diplomacy: it shows that expertise crosses borders, that heritage belongs to all of humanity, and that collaboration can survive conflict.
I am currently developing a framework for “heritage diplomacy," using conservation projects as a point of entry for dialogue in fragmented communities. When young people from different places collaborate to restore a historic mosque or document disappearing architectural traditions, they learn negotiation, cultural respect, and collaborative problem-solving. When words fail, heritage is the diplomatic language.
I am also producing content, social media, academic papers, and policy briefs that reframe Iraqi innovation as a global contribution. This is Creative Public Diplomacy: Exploiting what is available to change the perception of expertise abroad in Iraq. Creative diplomacy is the art of finding the unconventional road to understanding.</t>
  </si>
  <si>
    <t>Linkdin</t>
  </si>
  <si>
    <t>I am particularly interested in modules that address how cultural heritage and conservation can be used as diplomatic platforms in post-conflict environments. My work with the Ishtar Project exemplifies how heritage stewardship creates a space for dialogue when formal diplomacy is stymied. I would also select modules on youth leadership in international governance and strategic communication in multi-stakeholder environments, as they directly support my vision of positioning Iraq’s expertise in climate adaptation and heritage preservation as a global contribution.</t>
  </si>
  <si>
    <t>Deena Alabboddi</t>
  </si>
  <si>
    <t>Deena Emad Gataa</t>
  </si>
  <si>
    <t>deenagataa@gmail.com</t>
  </si>
  <si>
    <t>tatwash@gmail.com</t>
  </si>
  <si>
    <t>Albayaa, Qater Alnada St., Baghdad, Iraq</t>
  </si>
  <si>
    <t>+9647736343894</t>
  </si>
  <si>
    <t>A14989540</t>
  </si>
  <si>
    <t>+9647708979424</t>
  </si>
  <si>
    <t>https://www.instagram.com/deena_is_here?igsh=Zmo5b21seGpjMGVn</t>
  </si>
  <si>
    <t>Screenshot_20260629_124257_cn_wps_moffice_eng_PDFReader1.jpg</t>
  </si>
  <si>
    <t>IMG_20260621_202725_384.jpg</t>
  </si>
  <si>
    <t>Masters of Arts</t>
  </si>
  <si>
    <t>English Language and Literature</t>
  </si>
  <si>
    <t>University of Baghdad</t>
  </si>
  <si>
    <t>Yes, Tedx Baghdad</t>
  </si>
  <si>
    <t>https://www.ted.com/watch/tedx-talks</t>
  </si>
  <si>
    <t>Interpeter and Translator</t>
  </si>
  <si>
    <t>2 years of Volunteering</t>
  </si>
  <si>
    <t>Instructor and Radio Host</t>
  </si>
  <si>
    <t>Student House</t>
  </si>
  <si>
    <t>Leadership, Public Speaking, Public Diplomacy, Teaching, Translation &amp; Interpretation, Strategic Communication, Project Management, Cross-Cultural Communication, Youth Engagement, Content Creation, Event Coordination.</t>
  </si>
  <si>
    <t>Deena Emad Gataa ( CV ).pdf</t>
  </si>
  <si>
    <t>Growing up in Iraq during years of division taught me that misunderstanding often causes greater damage than disagreement itself. That experience inspired me to use education and communication as tools for change. I have taught students from diverse backgrounds, translated ideas across languages, volunteered with TEDx Baghdad to promote the exchange of ideas, and used radio and educational media to encourage dialogue and lifelong learning. Rather than seeking to change the world through grand gestures, I focus on changing individual perspectives. Every conversation that replaces prejudice with understanding is, to me, a meaningful step toward a more peaceful and connected society.</t>
  </si>
  <si>
    <t>I do not believe diplomacy belongs to a single country, as every nation contributes to global dialogue in different ways. However, if I had to choose one, I would select Indonesia because it demonstrates how diversity can become a foundation for cooperation rather than conflict. Home to hundreds of ethnic groups, languages, and cultures, Indonesia has built its identity around coexistence and dialogue. Its active role in regional cooperation through ASEAN and its commitment to cultural exchange reflect the essence of public diplomacy. To me, the most diplomatically significant countries are those that build trust, encourage mutual understanding, and create opportunities for people to connect across differences.</t>
  </si>
  <si>
    <t>Growing up in Iraq taught me that conflict often begins long before politics—it begins when people stop understanding one another. That realization shaped my belief that young people have a unique responsibility in diplomacy. Unlike traditional diplomacy, public diplomacy starts with individuals who build trust through education, communication, and cultural exchange. I relate to this deeply because I have chosen those tools throughout my career. As an English instructor, I encourage students to explore different perspectives through language. As a translator, I bridge linguistic and cultural barriers. As a radio presenter, I introduce audiences to music, stories, and traditions from around the world, creating spaces where curiosity replaces stereotypes. These experiences have shown me that diplomacy is not confined to conference rooms; it happens whenever people listen with respect and engage across differences. At YPDS, I hope to learn from diverse young leaders and develop practical collaborations that continue beyond the summit. My goal is to return home with stronger strategies to expand educational and cultural initiatives that connect communities and inspire more young people to become ambassadors of dialogue and mutual understanding.</t>
  </si>
  <si>
    <t>To me, passion is not a moment of excitement but a long-term commitment to a purpose, even when progress is slow or challenges arise. My passion is creating opportunities for learning and understanding because I believe education has the power to transform lives and strengthen communities. This passion has guided every stage of my journey, from teaching English and translating across languages to hosting a radio program that introduces audiences to different cultures and perspectives. Each role has reinforced my belief that knowledge and dialogue can bridge differences and inspire positive change. Passion keeps me focused because it gives meaning to my work beyond personal achievement. It continues to shape my ambition to use education and public diplomacy to empower young people and foster greater understanding across cultures</t>
  </si>
  <si>
    <t>Yes. I believe creativity is one of the most effective tools in public diplomacy because it makes complex ideas accessible and encourages people to connect emotionally before they engage intellectually. My creativity lies in transforming education into meaningful experiences. Through teaching, radio broadcasting, and educational content, I have learned that stories, literature, and music can break down stereotypes more effectively than arguments alone. My public diplomacy strategy is to create educational and cultural initiatives where young people from different backgrounds exchange stories, languages, and traditions while working together on shared challenges. Such initiatives replace assumptions with genuine dialogue and help build lasting relationships across cultures. At YPDS, I hope to refine these ideas by learning from participants worldwide and developing collaborative projects that continue after the summit. I believe diplomacy becomes truly effective when creativity inspires people not only to listen to one another, but also to understand, respect, and work together despite their differences.</t>
  </si>
  <si>
    <t>People-to-People Diplomacy Through Education and Story</t>
  </si>
  <si>
    <t>Diksha Ranjan</t>
  </si>
  <si>
    <t>diksharanjan0001@gmail.com</t>
  </si>
  <si>
    <t>diksharanjan2026@gmail.com</t>
  </si>
  <si>
    <t>New Delhi, Delhi, India</t>
  </si>
  <si>
    <t>9818581177</t>
  </si>
  <si>
    <t>C5610917</t>
  </si>
  <si>
    <t>9430060177</t>
  </si>
  <si>
    <t>https://www.linkedin.com/in/diksha-ranjan-%EB%94%95%EC%83%A4-769335129?utm_source=share_via&amp;utm_content=profile&amp;utm_medium=member_ios</t>
  </si>
  <si>
    <t>Solo_Escapist</t>
  </si>
  <si>
    <t>Diksha’s Passport .pdf</t>
  </si>
  <si>
    <t>Passport size photo .PNG</t>
  </si>
  <si>
    <t>Diploma and Bachelors</t>
  </si>
  <si>
    <t>English Literature</t>
  </si>
  <si>
    <t>Marketing, Branding, social media, Writing, Speaking.</t>
  </si>
  <si>
    <t>University of Delhi</t>
  </si>
  <si>
    <t>Soon, opting Post graduate in diplomacy for research.</t>
  </si>
  <si>
    <t>Yes. Teach for India, WORK organization and Peace initiatives.</t>
  </si>
  <si>
    <t>https://www.teachforindia.org/</t>
  </si>
  <si>
    <t>Full time Employed in Grow Billion Trees NGO, as Brand Communications Manager.</t>
  </si>
  <si>
    <t>Branding, Marketing, Social media, Writing, Team Building, Moderator and Speaker</t>
  </si>
  <si>
    <t>diksharanjan.CV.pdf</t>
  </si>
  <si>
    <t>Yes, I believe meaningful change begins with individuals who choose dialogue over division. I have worked with religious leaders, youth, educators, and civil society to promote peace through interfaith dialogue and mutual understanding. Beyond organizing conferences, I actively build relationships across diverse communities, encourage volunteerism, and use digital storytelling to inspire positive social action. Every conversation, campaign, and collaboration is an opportunity to reduce prejudice and strengthen trust.</t>
  </si>
  <si>
    <t>I believe no single country solely defines global diplomacy today. However, India holds a unique diplomatic position because of its democratic values, cultural diversity, strategic partnerships, and growing influence in global affairs. As the world’s largest democracy, India has consistently promoted dialogue, peaceful coexistence, and multilateral cooperation. Its philosophy of “Vasudhaiva Kutumbakam”. India, is one the the emerging super powers. India’s leadership in forums such as the G20 demonstrates its ability to bridge developed and developing nations while encouraging collaborative solutions to shared global challenges including climate change, sustainable development, and Peace Building .</t>
  </si>
  <si>
    <t>As a youth myself and My journey reflects this belief that Youths are the backbone of the nation, true future of diplomacy. In today’s interconnected world, young people influence international perceptions through innovation, social media, entrepreneurship, volunteerism, and cross-cultural collaboration. Their openness to learning, adaptability, and willingness to challenge stereotypes make them powerful agents of peace and international cooperation. India, I engage with religious leaders, youth organizations, educational institutions, and civil society to encourage dialogue across cultural and religious differences. I have coordinated peace education initiatives, interfaith discussions, and international collaborations that emphasize understanding over conflict. These experiences have shown me that diplomacy extends far beyond government institutions, it is more about understanding and relationships. My background in strategic communication and digital media has enabled me to create campaigns that promote social awareness, peacebuilding, and community engagement. I believe authentic storytelling has the power to connect people across borders and challenge misconceptions. At the Young Public Diplomacy Summit, I hope to exchange ideas with global changemakers, strengthen my understanding of international diplomacy, and contribute practical perspectives from grassroots Peace building initiatives in India.</t>
  </si>
  <si>
    <t>My passion is deeply rooted in my Faith. 
Faith has helped me understand my purpose, and has shaped my true identity to become a peace advocate. It has taught me patience and resilience (in-fact, I am still learning). My passion lies in building peaceful communities through dialogue, education, and meaningful human connections. Whether coordinating interfaith initiatives, leading volunteer teams, or creating communication strategies for social impact, I find purpose in bringing diverse people together around shared values. Organizing international collaborations and community projects often involves uncertainty, but it has strengthened my ability to adapt, lead with empathy, and remain focused on meaningful outcomes. Rather than pursuing success alone, I strive to create opportunities where others can also contribute and grow.</t>
  </si>
  <si>
    <t>Yes, i personally think creative mind is one of my strongest pursuit. Creativity is flexible and it enables me to transform complex ideas into meaningful experiences that people can relate to. My background in social media strategy, branding, content development, and community engagement has taught me that creativity is not about design. Rather for Me, it is about communicating with empathy, authenticity, and purpose. I have used storytelling, digital campaigns, educational content, and collaborative events to promote peace, encourage civic participation, and strengthen intercultural understanding. By presenting real stories of cooperation and shared humanity, I have seen how communication can inspire dialogue. I truly believe successful diplomacy is built on human connections. Creativity allows those connections to become memorable, accessible, and inclusive. Through innovative communication, we can transform diplomacy from formal negotiations into everyday interactions that build trust, mutual respect, and lasting international friendships.</t>
  </si>
  <si>
    <t>Global Politics and Diplomacy</t>
  </si>
  <si>
    <t>Umar Salimov</t>
  </si>
  <si>
    <t>salimov2527@gamil.com</t>
  </si>
  <si>
    <t>salimov.umar.08@gmail.com</t>
  </si>
  <si>
    <t>Deira, Dubai, United Arab Emirates</t>
  </si>
  <si>
    <t>Tajikistan</t>
  </si>
  <si>
    <t>+97150507415</t>
  </si>
  <si>
    <t>403298289</t>
  </si>
  <si>
    <t>+992935372424</t>
  </si>
  <si>
    <t>https://www.linkedin.com/in/umar-salimov-848a0a382?utm_source=share_via&amp;utm_content=profile&amp;utm_medium=member_ios</t>
  </si>
  <si>
    <t>https://www.instagram.com/salimov__u__?igsh=MWo5N3Z1amc4eDhzbg%3D%3D&amp;utm_source=qr</t>
  </si>
  <si>
    <t>IMG_0090.jpeg</t>
  </si>
  <si>
    <t>IMG_0091.jpeg</t>
  </si>
  <si>
    <t>Accountant</t>
  </si>
  <si>
    <t>Pedagogical University in Rasht, Tajikistan</t>
  </si>
  <si>
    <t>Sahid Polytechnic (Politeknik Sahid), Indonesia - DARMASISWA</t>
  </si>
  <si>
    <t>I have basic experience with academic research through my university studies and enjoy learning through research and analysis.</t>
  </si>
  <si>
    <t>American Spaces Tajikistan</t>
  </si>
  <si>
    <t>https://www.facebook.com/asdushanbe</t>
  </si>
  <si>
    <t>Head of youth volunteers</t>
  </si>
  <si>
    <t>2018-2023</t>
  </si>
  <si>
    <t>Stand Admin, Concierge</t>
  </si>
  <si>
    <t>Communication &amp; Interpersonal Skills, Problem Solving, Multitasking, Teamwork, Reliability &amp; Punctuality, Adaptability &amp; Flexibility</t>
  </si>
  <si>
    <t>UmarSalimov .pdf</t>
  </si>
  <si>
    <t>Yes, I have. I believe changing the world starts with making a difference in your own community. During my time in Tajikistan and Indonesia, I volunteered in youth and educational activities where I helped organize events and encouraged young people to develop new skills. I also created social media content about scholarships, exchange programs, and free learning opportunities to help students who may not know these opportunities exist. By sharing information and supporting others, I hope to inspire more young people to study abroad, connect with different cultures, and contribute positively to their communities.</t>
  </si>
  <si>
    <t>I believe Indonesia is one of the most diplomatically significant countries today. It connects Asia with the rest of the world and plays an important role in regional peace and cooperation. As the largest economy in Southeast Asia and a founding member of ASEAN, Indonesia promotes dialogue, tolerance, and international partnerships. After studying and living there through the DARMASISWA scholarship, I experienced its cultural diversity and welcoming society firsthand. Indonesia shows that diplomacy is not only about politics but also about education, culture, and people-to-people connections that strengthen relationships between nations.</t>
  </si>
  <si>
    <t>Governments negotiate treaties. Young people negotiate everyday life across cultures — in classrooms, group chats, internships, comment sections. That’s a different kind of diplomacy, but it’s not a lesser one. It’s often the layer that makes the formal kind possible, because it builds the baseline trust and curiosity that treaties alone can’t create.
I didn’t plan to end up doing public diplomacy — it happened as a byproduct of just living an international life. Studying in Indonesia, interning at The Westin Bali, volunteering with youth in Tajikistan: none of that was framed as “diplomacy” at the time, it was just me trying to understand places that weren’t home yet. Somewhere in that process I realized the understanding itself was the point.
Turning that into content — sharing scholarships and exchange opportunities online — was the natural next step. It’s public diplomacy at its most literal: taking what I learned by accident and making it accessible to people who’d otherwise never come across it.
That’s the role I see for youth: not replacing formal diplomacy, but supplying it with something it structurally can’t generate on its own — reach into ordinary people’s lives.</t>
  </si>
  <si>
    <t>Passion, to me, isn’t the feeling I have when things go well — it’s the reason I don’t quit when they don’t. It’s what got me through the parts of studying and living abroad that weren’t photogenic: bureaucracy, homesickness, a job in a language I was still learning.
What I’m passionate about, specifically, is the moment someone realizes an opportunity that felt out of reach — a scholarship, an internship, a program abroad — is actually within their grasp. I’ve been on both sides of that moment: as the student who found out DARMASISWA existed almost too late, and now as the person posting that same information earlier, for someone else.
That’s what passion does for goals — it gives you a reason to keep going that has nothing to do with recognition. It’s just unfinished business you care about.</t>
  </si>
  <si>
    <t>Yes, I consider myself a creative person because I enjoy finding simple ways to connect people with opportunities and new ideas. Creativity is not only about art or design; it is also about solving problems and communicating in ways that people understand and remember.
One example is my social media platform, where I share scholarships, educational programs, and international opportunities. I present information in a clear and accessible way so more young people can benefit from it. This allows me to reach people from different backgrounds and encourage them to think globally.
I believe creativity can become an effective public diplomacy strategy by making international cooperation more relatable. Instead of focusing only on official meetings, diplomacy can also happen through storytelling, cultural experiences, social media campaigns, and educational projects. These approaches help build trust and mutual understanding between people from different countries.
In the future, I want to combine my international experiences with digital communication to promote cultural exchange, education, and dialogue. By sharing real stories, encouraging collaboration, and highlighting diverse perspectives, I hope to inspire more young people to become active global citizens and strengthen connections across cultures.</t>
  </si>
  <si>
    <t>Meghan Hidayat</t>
  </si>
  <si>
    <t>Meghan Lee Hidayat</t>
  </si>
  <si>
    <t>leemeghan07@gmail.com</t>
  </si>
  <si>
    <t>erwinbenz@hotmail.com</t>
  </si>
  <si>
    <t>081914569490</t>
  </si>
  <si>
    <t>X1989087</t>
  </si>
  <si>
    <t>081333130199</t>
  </si>
  <si>
    <t>ID pic.jpg</t>
  </si>
  <si>
    <t>B.A.</t>
  </si>
  <si>
    <t>University of Southern California</t>
  </si>
  <si>
    <t>Student Council</t>
  </si>
  <si>
    <t>https://www.instagram.com/bss_sc/</t>
  </si>
  <si>
    <t>President</t>
  </si>
  <si>
    <t>Fill A Bucket</t>
  </si>
  <si>
    <t>A youth-led nonprofit organization dedicated to expanding educational access by sharing knowledge and learning resources with children across Indonesia.</t>
  </si>
  <si>
    <t>Leadership, Global Engagement, Communication</t>
  </si>
  <si>
    <t>MEGHAN HIDAYAT-RESUME 2026.pdf</t>
  </si>
  <si>
    <t>I've always dreamed of changing the world, but I've learned that real change starts with making a tangible impact in the communities around us. Growing up, I saw how my grandmother's restaurant brought people together, teaching me that food is more than nourishment—it builds connection. Inspired by her example, I mentored younger students and began developing an initiative to reduce food insecurity and promote sustainable food systems. Through studying international relations and pursuing public service, I hope to create policies and programs that expand access to affordable, nutritious food while empowering communities, especially young people, to create lasting change.</t>
  </si>
  <si>
    <t>I believe the United States remains one of the world's most diplomatically significant countries because studying here has broadened my perspective and deepened my understanding of global affairs. As a founding member of the United Nations and a leader in many multilateral institutions, the U.S. has helped shape international cooperation on issues ranging from climate change and food security to trade and economic development. However, no nation can solve global challenges alone. Effective diplomacy requires collaboration, mutual respect, and dialogue. I hope to strengthen those partnerships through policies that create sustainable, inclusive solutions for communities worldwide.</t>
  </si>
  <si>
    <t>Youth play a vital role in diplomacy because we bring fresh perspectives, adaptability, and innovative approaches to global challenges. In an era shaped by technology and artificial intelligence, young people are not only future leaders but also active participants in shaping international dialogue through advocacy, innovation, and cross-cultural collaboration.
To me, public diplomacy is about building trust and mutual understanding among people, not just governments. While traditional diplomacy focuses on government-to-government negotiations, public diplomacy strengthens relationships through communication, education, cultural exchange, and people-to-people connections. Studying abroad has shown me how meaningful conversations across cultures can challenge stereotypes and foster lasting relationships.
I also believe food has a unique place in public diplomacy. Often, a country's cuisine is someone's first introduction to its culture, values, and traditions. When shared thoughtfully, food becomes a powerful bridge between people. As political scientist Joseph Nye's concept of "soft power" suggests, influence is not achieved through force alone, but through attraction and shared experiences. I believe food embodies that idea by creating connections that reach beyond policy and resonate with people on a personal level.</t>
  </si>
  <si>
    <t>To me, passion is the driver of everything. It is more than a thought or an action; it is the commitment to keep pursuing a purpose even when the path is uncertain. Passion acts as a compass, giving direction to my curiosity and motivating me to continue learning, growing, and serving others.
Without passion, life feels like walking without a compass—movement without clear direction or meaning. Passion is what transforms effort into meaningful action; without it, work can become mechanical and disconnected from purpose. With passion, however, we engage fully and give our best because we are genuinely invested in what we are pursuing.
My passion lies at the intersection of international relations and food security within global food systems. It inspires me to explore how diplomacy can address food insecurity and broader challenges like climate change. Ultimately, passion pushes me to embrace new perspectives and develop the skills needed to create meaningful and lasting impact in my community and beyond.</t>
  </si>
  <si>
    <t>I would describe myself as a creative person because I approach public diplomacy from a different lens, especially through food. To me, diplomacy is not limited to formal negotiations between governments, but also includes the everyday ways people connect and understand each other across cultures.
I see food as one of the most accessible forms of cultural exchange. One way I think creativity can strengthen public diplomacy is by combining food with storytelling. While taste may draw people in, stories are what create understanding. When countries share their cuisine, they should also share what stands behind it—the traditions, history, and people behind each dish. This can be done through cultural events, menus, social media, and digital storytelling. When people understand the meaning behind what they are experiencing, food becomes more than something to consume; it becomes a connection.
In today’s media environment, food content is everywhere, but it often focuses more on aesthetics than authenticity. I believe there is value in shifting the focus toward the cultural context and lived experiences behind what we eat.
Through gastrodiplomacy, food becomes a bridge between nations. It fosters familiarity, reduces stereotypes, and builds mutual understanding in a way that feels human, personal, and lasting.</t>
  </si>
  <si>
    <t>Pauline Blanchet</t>
  </si>
  <si>
    <t>pauline@aralseaproductions.com</t>
  </si>
  <si>
    <t>paulineblanchetstudio@gmail.com</t>
  </si>
  <si>
    <t>Boulevard 30 Kocho Racin, Skopje</t>
  </si>
  <si>
    <t>French</t>
  </si>
  <si>
    <t>+447738685608</t>
  </si>
  <si>
    <t>25AF26736</t>
  </si>
  <si>
    <t>Elisabeth Blanchet</t>
  </si>
  <si>
    <t>https://www.linkedin.com/in/paulineblanchet/</t>
  </si>
  <si>
    <t>@paulyblanchet</t>
  </si>
  <si>
    <t>Passport.png</t>
  </si>
  <si>
    <t>Pauline Blanchet Headshot.jpg</t>
  </si>
  <si>
    <t>Anthropology</t>
  </si>
  <si>
    <t>Post-conflict ethnic urban relations</t>
  </si>
  <si>
    <t>University of London Institute in Paris</t>
  </si>
  <si>
    <t>British School in Athens</t>
  </si>
  <si>
    <t>Yes very</t>
  </si>
  <si>
    <t>Geneva Centre of Humanitarian Studies</t>
  </si>
  <si>
    <t>https://www.unige.ch/medecine/humanitarianstudies</t>
  </si>
  <si>
    <t>Freelance Video Producer &amp; Communications Consultant</t>
  </si>
  <si>
    <t>Project based since 2020</t>
  </si>
  <si>
    <t>I founded Pharos London, a youth-led media initiative using podcasts, XR/VR, and film to open up conversations around politics, social awareness, and international relations, making global affairs more accessible to young people who are often excluded from these spaces. The initiative was rooted in the belief that strategic communication and storytelling are powerful tools of cultural diplomacy, capable of bridging divides and building cross-cultural understanding. This work later evolved into Aral Sea Productions, now an established, Sundance-supported filmmaking and podcast studio that continues this mission, using media as a platform for youth voice, social impact, and international dialogue.</t>
  </si>
  <si>
    <t>Documentary directing &amp; producing, video production and editing, podcast production and hosting, strategic communications and public diplomacy outreach, social media and press management, cross-cultural storytelling, NGO and institutional communications, public speaking and pitching (EURODOC, Al Jazeera Balkans, Sheffield Doc Fest), research and academic writing (Critical Urban Studies PhD candidate), and multilingual, cross-border project experience across Europe, the Balkans, and Central Asia.</t>
  </si>
  <si>
    <t>Pauline Blanchet - 2026 - CV.pdf</t>
  </si>
  <si>
    <t>I believe storytelling and research can shift how people understand injustice. Through Aral Sea Productions, I've directed documentaries confronting sex workers' rights, asylum policy, and modern-day slavery, giving voice to communities left out of mainstream narratives. My PhD in Critical Urban Studies extends this into rigorous research on space, identity, and marginalisation in cities like Skopje, and Western Balkans. I also produced a World Bank campaign film on Roma access to services in North Macedonia, and founded Pharos London to make political and social issues accessible to young people through media. Impact, for me, means combining scholarship with storytelling.</t>
  </si>
  <si>
    <t>I believe North Macedonia holds outsized diplomatic significance. Sitting at the crossroads of EU accession politics, Balkan regional tensions, and competing Russian, Chinese, and Western influence, it is a live case study in soft power and identity diplomacy. Having filmed there, I've seen how naming disputes, minority rights, and EU integration converge in daily life. Its trajectory will shape whether the Western Balkans stabilises toward Europe or fragments further. Small states like this often reveal more about global power dynamics than the major powers themselves.</t>
  </si>
  <si>
    <t>I relate to public diplomacy through practice as much as theory. I've used documentary, podcasting, and XR to make political and social issues accessible to audiences often excluded from formal diplomatic spaces. As a Cumberland Lodge Fellow, I engage directly in dialogue on social cohesion and shared values, the same principles underpinning public diplomacy. My PhD research on identity and space in the Balkans grounds this further. For me, public diplomacy happens wherever media and dialogue build understanding across divides, and youth are positioned to lead that shift.</t>
  </si>
  <si>
    <t>Passion, to me, is sustained curiosity paired with the discipline to keep showing up for something even when it's unfunded or seemingly impossible. For me, that passion is rooted in cultural exchange: the belief that sitting with someone else's story, language, or worldview long enough to truly understand it can change how we see the world. It's the difference between liking an idea and actually building a life around it, by taking on unpaid drafts, unanswered pitches, and steep learning curves without losing momentum. Passion helps me achieve goals by turning empathy into daily practice: showing up to listen one more time, edit one more cut, or sit with a difficult story long after initial motivation fades. When a goal feels distant, empathy for who it's meant to serve is what keeps the next small step worth taking.</t>
  </si>
  <si>
    <t>Traditional diplomacy often struggles to reach younger, digitally native audiences. Creative formats; short documentary, immersive XR, serialized podcasts, can close that gap by turning abstract geopolitics into human stories people choose to engage with rather than have delivered to them. My experience directing narrative-driven campaigns, including institutional work like the World Bank's Roma inclusion film, shows how creative storytelling can carry an institution's message without losing nuance or trust. I see creativity as a diplomatic tool in itself: a way to build empathy across cultural and political lines before formal negotiation even begins. Used strategically, it doesn't replace traditional diplomacy: it opens the door for it, making audiences receptive before the harder conversations start.</t>
  </si>
  <si>
    <t>Online</t>
  </si>
  <si>
    <t>Ana Carla Zarbá</t>
  </si>
  <si>
    <t>carlazarba96@gmail.com</t>
  </si>
  <si>
    <t>carlaz.traveller@gmail.com</t>
  </si>
  <si>
    <t>25 De Mayo 746, 1C, San José de Metán, Argentina</t>
  </si>
  <si>
    <t>Argentinian</t>
  </si>
  <si>
    <t>+5493876472971</t>
  </si>
  <si>
    <t>AAF646423</t>
  </si>
  <si>
    <t>+5493876452349</t>
  </si>
  <si>
    <t>https://www.linkedin.com/in/carla-zarba/</t>
  </si>
  <si>
    <t>https://www.instagram.com/carlazarba/</t>
  </si>
  <si>
    <t>Ana Carla Zarba - Passport.pdf</t>
  </si>
  <si>
    <t>Zarbá foto 4x4.png</t>
  </si>
  <si>
    <t>Bachelors / Bachelors / Technicians</t>
  </si>
  <si>
    <t>International Relations / Sociology / Audiovisual Media</t>
  </si>
  <si>
    <t>Film Production</t>
  </si>
  <si>
    <t>Universidad Empresarial Siglo 21 / Universidad Empresarial Siglo 21 / Universidad Nacional de Tucumán</t>
  </si>
  <si>
    <t>Argentina</t>
  </si>
  <si>
    <t>Yes. I have written two thesis</t>
  </si>
  <si>
    <t>Film Student Council / Jóvenes Feministas de Metán / OAJNU / Global Shapers Tucumán / Vital Voices / AFS Intercultural Programs</t>
  </si>
  <si>
    <t>https://www.globalshapers.org/</t>
  </si>
  <si>
    <t>Founder and President / Founder and President / Secretary, Coordinatress and Assembly member / Vice Curatress and Leader of Communications / Mentee, Mentor, member of the Communicatiosn Team and Matching Team / Counselor</t>
  </si>
  <si>
    <t>Frelance consulting for cultural projects and internacional applications</t>
  </si>
  <si>
    <t>Yes. Jóvenes Feministas de Metán and Film Student Council</t>
  </si>
  <si>
    <t>Jóvenes Feministas de Metán: To provide education and mobilization for women's rights.
Film Student Council: To foster active student participation in university politics.</t>
  </si>
  <si>
    <t>Content creation, leadership, project managing, communication</t>
  </si>
  <si>
    <t>CV Carla Zarbá English.pdf, Zarbá - Vertical Portfolio.pdf</t>
  </si>
  <si>
    <t>Yes. I have always tried to contribute to changing the world, one project at a time. For instance, I organized the first Pride Parade in my town, founded its first feminist organization, and produced the only Inclusive Fashion Show, featuring models from diverse minority groups — including LGBTIQ+ people, persons with disabilities, and older adults. This actions, not only change how people from the town understands inclusion, but also empowers the minorities to ask for an opportunity, to speak up and to cliam for a chair in the table where decisions are being made.</t>
  </si>
  <si>
    <t>The United States remains the most diplomatically significant actor in the international system, largely due to its economic capacity, military reach, and historical influence within multilateral institutions. However, its foreign policy often reflects a realist approach that prioritizes national interests over collective security or global equity. This imbalance has generated asymmetries in global governance, particularly within the United Nations Security Council. A reform that limits or abolishes the veto power of permanent members could foster a more democratic and representative framework for international decision-making.</t>
  </si>
  <si>
    <t>Youth play a crucial role in shaping the future of diplomacy by bringing fresh perspectives, innovative solutions, and a strong commitment to social justice and sustainability. Our generation has grown up in a globalized, interconnected world, which allows us to understand that diplomacy today extends beyond state actors — it involves citizens, communities, and transnational movements.
I believe that young people should not only raise their voices to influence decision-makers but also occupy seats at the tables where those decisions are made. We are the generation that will live the longest with the consequences of today’s choices; therefore, our participation is not just desirable but necessary for long-term, inclusive policymaking.
Public Diplomacy, in this sense, represents a powerful tool for youth engagement. By using cultural exchange, communication, and social media, young leaders can build bridges between societies, promote understanding, and challenge stereotypes. Personally, I relate to this concept through my work in community projects that promote inclusion, gender equality, and human rights. These initiatives demonstrate that diplomacy can—and should—start from the grassroots level, empowering citizens to become active agents of change in the international arena.</t>
  </si>
  <si>
    <t>Passion is the inner force that drives us toward purpose. When we align our actions with what truly inspires us, we not only find personal fulfillment but also motivate others around us. Passion has the power to connect people with similar dreams, creating networks of collaboration that amplify impact. I believe that collective creation is always stronger than individual effort.
This idea resonates deeply with the Japanese concept of Ikigai—the intersection between what we love, what we are good at, what the world needs, and what we can be rewarded for. Finding our Ikigai allows us to transform passion into sustainable action, turning our purpose into a daily practice rather than a distant dream. For me, passion becomes meaningful only when it contributes to something greater than myself, helping to build communities, inspire change, and move the world toward empathy and balance.</t>
  </si>
  <si>
    <t>Yes, I consider myself a creative person, not only in the artistic sense but also in how I approach social and cultural challenges. Creativity, to me, is about envisioning new ways to connect people, foster empathy, and build understanding among communities.
But creativity requires deliberate cultivation; it demands both active work and continuous nurturing. I study to expand my perspective and travel to experience realities beyond my imagination, stepping out of my comfort zone and listening to my surroundings. This program is ideal to nurture my creativity.
If selected, I would like to clarify that I only require sponsorship for my outbound flight to Jakarta. I will personally cover all return travel expenses, as I plan to extend my stay in Indonesia for a few weeks in order to immerse myself deeper into the culture.
I will transform this experience into an effective public diplomacy strategy by serving as a digital and cultural bridge between Southeast Asia and Latin America, primarily through my YouTube Channel. I will also launch cross-regional digital collaborative workshops upon my return. By translating global insights from Jakarta into local inclusion projects, I will ensure this fosters enduring youth cooperation and drives tangible social impact.</t>
  </si>
  <si>
    <t>Cross-Cultural Dialogue Navigation</t>
  </si>
  <si>
    <t>Salohiddin Sirojiddinov</t>
  </si>
  <si>
    <t>SIROJIDDINOV SALOHIDDIN ULUGBEK UGLI</t>
  </si>
  <si>
    <t>s.salohiddin0726@gmail.com</t>
  </si>
  <si>
    <t>ulugbek074@gmail.con</t>
  </si>
  <si>
    <t>Andijan region, Andijan, Uzbekistan</t>
  </si>
  <si>
    <t>+998979970749</t>
  </si>
  <si>
    <t>FA7649567</t>
  </si>
  <si>
    <t>+998979970747</t>
  </si>
  <si>
    <t>Salohiddin.png</t>
  </si>
  <si>
    <t>salohiddin_photo.jpg</t>
  </si>
  <si>
    <t>Secondary School</t>
  </si>
  <si>
    <t>High School Diploma</t>
  </si>
  <si>
    <t>General Education</t>
  </si>
  <si>
    <t>English Life School</t>
  </si>
  <si>
    <t>HIPPO English Without Borders — National Finals Participant</t>
  </si>
  <si>
    <t>https://hippo-thecontest.org</t>
  </si>
  <si>
    <t>National Finalist &amp; Academic Representative</t>
  </si>
  <si>
    <t>English Language (B2 CEFR), Public Speaking, Critical Thinking, Leadership, Robotics &amp; Engineering, Teamwork, Problem Solving, Academic Research</t>
  </si>
  <si>
    <t>Salohiddin_CV.pdf</t>
  </si>
  <si>
    <t>Yes, I have always believed that change begins with education and communication. As a young student from Uzbekistan, I witnessed how limited access to quality English education restricts opportunities for many young people. This inspired me to work harder, compete in international contests like HIPPO English Without Borders, and reach the National Finals twice. I want to become a bridge between my community and the world — sharing knowledge, inspiring peers, and proving that geography is not a barrier to greatness. Change starts with one determined individual, and I am committed to being that person in my community.</t>
  </si>
  <si>
    <t>I believe Uzbekistan is one of the most diplomatically significant countries in the world today. Located at the heart of Central Asia, Uzbekistan serves as a critical bridge between East and West, connecting major trade routes and civilizations. Under its current leadership, Uzbekistan has adopted an open-door foreign policy, actively engaging with the United Nations, SCO, and neighboring countries to promote peace and regional stability. Its rich cultural heritage, strategic location, and growing economy make it an increasingly important player in global diplomacy. I am proud to represent this nation on international platforms like YPDS Jakarta 2026.</t>
  </si>
  <si>
    <t>Youth are not just the future of diplomacy — they are an essential part of its present. In today's rapidly changing world, young people bring fresh perspectives, innovative thinking, and digital fluency that traditional diplomacy often lacks. We are the generation that grew up in a globalized world, naturally understanding cultural diversity and international interconnectedness.
Public diplomacy, in particular, relies heavily on youth engagement. When young people share their culture, values, and stories across borders — through exchange programs, international competitions, and social media — they build bridges of understanding that formal diplomacy alone cannot achieve. I personally relate to this idea deeply. By participating in international English competitions and robotics festivals, I have already begun practicing a form of public diplomacy — representing Uzbekistan, showcasing my culture, and connecting with peers from different backgrounds.
YPDS Jakarta 2026 is exactly the kind of platform where youth diplomacy comes alive. I believe that by bringing young leaders together, we can create lasting networks of mutual respect and cooperation that will shape a more peaceful and collaborative world for generations to come.</t>
  </si>
  <si>
    <t>Passion, to me, is the inner fire that keeps you moving forward even when obstacles seem insurmountable. It is not just enthusiasm — it is a deep, unwavering commitment to something greater than yourself. My passion lies in education, language, and connecting people across cultures.
This passion has driven me to compete in the HIPPO English Without Borders contest — not once, but twice reaching the National Finals. It pushed me to achieve a B2 level in English through consistent effort and dedication. It motivated me to explore robotics and technology at the ROBOT.UZ-2025 international festival.
Passion is what transforms an ordinary student into a determined achiever. For me, it is the driving force behind every certificate earned, every competition entered, and every goal set. I am passionate about becoming a global citizen who contributes meaningfully to his community and the world.</t>
  </si>
  <si>
    <t>Creativity, in my view, is the ability to see possibilities where others see limitations. Yes, I consider myself a creative person — not in the traditional artistic sense, but in the way I approach problems, learning, and communication.
Competing in the HIPPO English Without Borders contest required more than memorization — it demanded creative thinking, quick adaptability, and the ability to express complex ideas in a foreign language under pressure. Participating in the ROBOT.UZ-2025 robotics festival pushed me to design innovative solutions using engineering principles, teamwork, and imaginative problem-solving.
In terms of public diplomacy, creativity is perhaps the most powerful tool available. A creative diplomat does not just negotiate — they storytell, inspire, and connect. I would channel my creativity into public diplomacy by organizing cultural exchange events, creating multilingual content that showcases Uzbekistan's rich heritage, and using digital platforms to amplify youth voices from Central Asia on the global stage.
I believe that creative diplomacy — combining art, technology, language, and human connection — is the future of international relations, and I am eager to contribute my creative energy to this vision at YPDS Jakarta 2026.</t>
  </si>
  <si>
    <t>NKULI Elnathan</t>
  </si>
  <si>
    <t>Elnathan NKULI</t>
  </si>
  <si>
    <t>elnathannkuli8@gmail.com</t>
  </si>
  <si>
    <t>elnkuli929@gmail.com</t>
  </si>
  <si>
    <t>N°18 Idiofa, Q/Salongo C/Limeté, Kinshasa, Democratic Republic of the Congo (Kinshasa)</t>
  </si>
  <si>
    <t>The Democratic Republic of the Congo</t>
  </si>
  <si>
    <t>+243816023378</t>
  </si>
  <si>
    <t>Passport</t>
  </si>
  <si>
    <t>+243813535161</t>
  </si>
  <si>
    <t>www.linkedin.com/in/elnathan-nkuli-78888422b</t>
  </si>
  <si>
    <t>https://l.instagram.com/?u=https%3A%2F%2Fmy.manychat.com%2Fr%3Fact%3D56da4ac4e192a26cea53777edc00ca3e%26u%3D1390632899%26p%3D1886075%26h%3Dc18dadee53%26fbclid%3DPAT01DUASwpNRleHRuA2FlbQIxMABzcnRjBmFwcF9pZA81NjcwNjczNDMzNTI0MjcAAadc83kBMnUGgnl-buzcUdW459wuasa6AtKuFyLgvsNwxdhH8QzXO-wGg6e9bw_aem_dPIjj_DuJPc4kPKQdYUUDw&amp;e=AUBpSrn0DPlaoe8vrOcrsiZkR6BkSkdmmBisgGhRm9xAM2D82DVmkop2GsQGmiKPSlGLkDIrBrwjZEHG5LkEd_YdSInchNOs0bfta7TxzA&amp;s=1</t>
  </si>
  <si>
    <t>NEW PASSEPORT.pdf</t>
  </si>
  <si>
    <t>Environmental Science and Management</t>
  </si>
  <si>
    <t>University of Kinshasa</t>
  </si>
  <si>
    <t>Yes, of course</t>
  </si>
  <si>
    <t>Centre for the Promotion of Women and Girls (CEPF – Non-Governmental  Organization)</t>
  </si>
  <si>
    <t>https://cepf-rdc.org/a-propos</t>
  </si>
  <si>
    <t>Program and Project Manager</t>
  </si>
  <si>
    <t>5 years</t>
  </si>
  <si>
    <t>Promoting the rights, leadership, empowerment and effective participation of women, youth and local and indigenous communities in governance and sustainable development processes, while contributing to environmental protection, social justice, cultural preservation and the sustainable management of natural resources.</t>
  </si>
  <si>
    <t>Leadership and Team Management Community Mobilization and Engagement Project Planning and Management Community Forestry and Natural Resource Management Climate Change and Environmental Conservation Indigenous Peoples and Community Empowerment Sustainable Development and SDG Implementation Capacity Building and Training Facilitation Participatory Mapping and Land Tenure Governance Monitoring, Evaluation, and Reporting (MRV) Public Speaking and Strategic Communication Stakeholder Engagement and Partnership Building Research, Data Collection, and Analysis Green Entrepreneurship and Sustainable Livelihoods Cross-Cultural Collaboration and Youth Advocacy</t>
  </si>
  <si>
    <t>Elnathan_NKULI_MOLA_resume (3).pdf</t>
  </si>
  <si>
    <t>**Yes.** I believe meaningful global change begins with local action. In the Democratic Republic of the Congo, I have dedicated more than five years to empowering local and Indigenous communities through sustainable development initiatives. As Co-Founder of FPED, I have trained and supported over 350 young people and Indigenous community members in environmental education, community forestry, green entrepreneurship, and climate resilience. I have also promoted ecological bamboo carbonization to reduce deforestation and strengthen sustainable livelihoods. Through these initiatives, I strive to transform local challenges into practical, inclusive solutions while inspiring young people to become active leaders and changemakers in their communities.</t>
  </si>
  <si>
    <t>I believe no single country is the “most important” diplomatically, as today’s global challenges require collective leadership and international cooperation. However, I consider **Indonesia** to play an increasingly significant diplomatic role. As a leader in ASEAN, a member of the G20, and a country with a long tradition of promoting dialogue among diverse cultures and nations, Indonesia has demonstrated its ability to build consensus and foster peaceful cooperation. Its commitment to multilateralism and South–South cooperation makes it an inspiring example of how diplomacy can bridge differences and contribute to global peace and sustainable development.</t>
  </si>
  <si>
    <t>I believe young people are not only the future of diplomacy—they are already shaping it today. In an increasingly interconnected world, youth serve as bridges between communities, cultures, and institutions. Through innovation, dialogue, and civic engagement, they bring fresh perspectives to global challenges while promoting peace, inclusion, and sustainable development.
Coming from the Democratic Republic of the Congo, a country that continues to face armed conflicts, humanitarian challenges, and disputes over natural resources, I have witnessed how the absence of dialogue and inclusive governance can deepen divisions. These realities have strengthened my belief that diplomacy should not be limited to governments; it must also empower young people, civil society, and local communities to become active peacebuilders.
To me, public diplomacy is about building trust, fostering mutual understanding, and creating partnerships that transcend borders. Through my work with local and Indigenous communities, government authorities, NGOs, and international partners, I promote community forestry, climate resilience, and inclusive governance. By encouraging dialogue, strengthening local leadership, and advocating for Indigenous rights, I help connect local realities with global priorities.
I see myself as a community-based public diplomacy practitioner who believes lasting peace begins with listening, respecting cultural diversity, and transforming local experiences into collaborative solutions that inspire regional and global cooperation.</t>
  </si>
  <si>
    <t>To me, passion is the inner force that transforms purpose into action, even in the face of adversity. It is what gives us the courage to persevere and serve others despite challenges.
Growing up and working in the Democratic Republic of the Congo, where many communities continue to face conflict, environmental degradation, and social inequalities, has strengthened my passion for peace, sustainable development, and community empowerment. Rather than accepting these challenges as permanent, I have chosen to contribute through action. For over five years, I have supported local and Indigenous communities by promoting community forestry, climate resilience, environmental education, and sustainable livelihoods, reaching more than 350 young people and community members.
My passion reminds me that meaningful change begins locally but can inspire global transformation. It drives me to build bridges instead of barriers, encourage dialogue instead of division, and contribute to a future where development, peace, and human dignity go hand in hand.</t>
  </si>
  <si>
    <t>Yes, I consider myself a creative person because I enjoy transforming complex challenges into practical and sustainable solutions. Creativity, to me, is about connecting people, ideas, and opportunities to create lasting impact.
Living and working in the Democratic Republic of the Congo has shown me how conflict, environmental degradation, and social inequalities can weaken trust between communities. I believe public diplomacy can help rebuild that trust by promoting dialogue, mutual understanding, and cooperation instead of division.
In my work, I have applied creativity by promoting ecological bamboo carbonization, supporting community forestry, and designing community-based training programs that combine Indigenous knowledge with modern environmental practices. These initiatives have strengthened livelihoods while encouraging collaboration among communities, local authorities, and development partners.
As a public diplomacy strategy, I would combine storytelling, intercultural dialogue, digital communication, and emerging technologies such as Artificial Intelligence to amplify local voices, counter misinformation, and encourage evidence-based decision-making. I believe diplomacy should not only occur between governments but also among communities, young leaders, and civil society. By transforming local experiences into shared global solutions, we can foster peace, resilience, and sustainable development in conflict-affected regions and beyond.</t>
  </si>
  <si>
    <t>Media</t>
  </si>
  <si>
    <t>Strategy, peace &amp; Cultural diplomacy</t>
  </si>
  <si>
    <t>Adil OUBANALA</t>
  </si>
  <si>
    <t>oubanalaa@gmail.com</t>
  </si>
  <si>
    <t>Adil.OUBANALA@um6p.ma</t>
  </si>
  <si>
    <t>QUARTIER ADMINISTRATIF, AIT BAHA, Morocco</t>
  </si>
  <si>
    <t>Moroccan</t>
  </si>
  <si>
    <t>+212621292005</t>
  </si>
  <si>
    <t>PB0143586</t>
  </si>
  <si>
    <t>https://www.linkedin.com/in/adil-oubanala-885ab3387/</t>
  </si>
  <si>
    <t>passport_Adil_OUBANALA.pdf</t>
  </si>
  <si>
    <t>Adil OUBANALA .pdf</t>
  </si>
  <si>
    <t>Undergraduate Student</t>
  </si>
  <si>
    <t>Engineering Degree</t>
  </si>
  <si>
    <t>Agro-Environmental Systems Engineering</t>
  </si>
  <si>
    <t>University Mohammed 6 Polytechnic</t>
  </si>
  <si>
    <t>Parul University, India, in the Global Discovery Program – Leadership &amp; Skill Enhancement Track.</t>
  </si>
  <si>
    <t>Yes. Through my engineering curriculum, I actively engage with technical methodologies and research structures.</t>
  </si>
  <si>
    <t>Social Lens Program of my university UM6P.</t>
  </si>
  <si>
    <t>https://um6p.ma/en/social-experience-program</t>
  </si>
  <si>
    <t>Volunteer (Engaging in community activities, and creating a film for social impact)</t>
  </si>
  <si>
    <t>Strategic communication, social engagement, project management, leadership, intercultural communication.</t>
  </si>
  <si>
    <t>CV_2026-06-28_Adil_OUBANALA.pdf</t>
  </si>
  <si>
    <t>I believe changing the world starts with fixing real problems in your own community. For me, that means combining practical engineering with storytelling. To tackle environmental risks, I helped build an intelligent urban drainage system designed to prevent local flooding. On the creative side, I worked with the Social Lens program to make films that inspire civic participation and bring people together. By pairing technical solutions with media that actually touches people's hearts, I am working to build safer, more connected communities on the ground.</t>
  </si>
  <si>
    <t>To me, a diplomatically significant country is one that acts as a bridge between different cultures and regions. Morocco is a perfect example. Sitting right at the crossroads of Africa, Europe, and the Mediterranean, it naturally serves as a vital hub for dialogue and cooperation. Whether it is taking the lead on climate initiatives or mediating regional partnerships, Morocco shows how a country can use its unique location, rich cultural identity, and strategic balance to foster peace and bring nations together on the global stage.</t>
  </si>
  <si>
    <t>Young people have a unique role in diplomacy because we don't rely on formal political treaties to connect. We use technology, shared passions, and grassroots action to build real friendships across borders. We humanize international relations by listening to each other directly.This is exactly why I connect so deeply with Public Diplomacy—it is all about building relationships with everyday people through soft power. My experience making social impact films showed me firsthand how a good story can bridge huge cultural gaps and get people talking. At the same time, my engineering studies teach me that global challenges like resource scarcity cannot be solved in isolation; they require open, public cooperation.
  Public diplomacy means taking big, complex issues and communicating them in a way that inspires communities to take action together. By joining this summit, I want to learn how to sharpen these communication tools, exchange ideas with peers from around the world, and bring back fresh leadership insights to share with my community.</t>
  </si>
  <si>
    <t>Passion is the energy that pushes you to take action instead of just sitting back and watching. It is what keeps you awake and driven, turning simple curiosity into a real commitment to help others. My personal passion is fueled by two things: protecting the environment and telling stories that matter. 
 This drive is exactly how I achieve my goals. It is what gave me the stamina to co-develop a flood-prevention system and what pushes me to seek out international opportunities—like being selected for the Global Discovery Program in India. Passion ensures that I don't just learn theories in a classroom; it constantly forces me to get my hands dirty, try new things, and work hard to make a positive difference in the real world.</t>
  </si>
  <si>
    <t>Yes, I am definitely creative, but I see creativity as a problem-solving tool rather than just making art. True creativity is about connecting dots that others miss—like using visual storytelling to explain technical environmental challenges.  
 You can turn this brand of creativity into a powerful public diplomacy strategy through message-driven media. Today, people are tired of dry facts and statistics. If you want to get communities to care about global issues like climate change or sustainability, you have to tell a human story. My time creating films taught me how to capture real emotions, break down cultural barriers, and get people engaged.
  A creative public diplomacy strategy takes important global goals and shares them through digital media that anyone can relate to. By using creative storytelling, international campaigns can build trust, reshape how countries view one another, and inspire young people across the globe to stand together. At the summit, I want to explore how we can use creative media to turn complex global policies into ideas that spark real, worldwide connection.</t>
  </si>
  <si>
    <t>Official social media channels</t>
  </si>
  <si>
    <t>zinah alkinani</t>
  </si>
  <si>
    <t>Zinah saleh hadi alkinani</t>
  </si>
  <si>
    <t>zena.iq89@gmail.com</t>
  </si>
  <si>
    <t>zena_iq89@yahoo.com</t>
  </si>
  <si>
    <t>Baghdad, Rusafa, Shaab city, Iraq</t>
  </si>
  <si>
    <t>+9647723248936</t>
  </si>
  <si>
    <t>A20661577</t>
  </si>
  <si>
    <t>+9647737513688</t>
  </si>
  <si>
    <t>https://iq.linkedin.com/in/zinahsaleh</t>
  </si>
  <si>
    <t>zinah.jpg</t>
  </si>
  <si>
    <t>1775726147877.png</t>
  </si>
  <si>
    <t>Business adminstration</t>
  </si>
  <si>
    <t>Entrepreneurship</t>
  </si>
  <si>
    <t>Alrafidain</t>
  </si>
  <si>
    <t>Government relations officer</t>
  </si>
  <si>
    <t>Zinah saleh CV 1.pdf</t>
  </si>
  <si>
    <t>Yes, I have thought about changing the world, but I believe meaningful change begins with changing our own communities first. In Iraq, many women face economic challenges and limited employment opportunities. Inspired by local youth initiatives, I decided to take action in my own capacity by starting a soap-making project aimed at supporting women in need of work. What began as a small initiative has grown into a project that currently provides income-generating opportunities for 25 Iraqi women. This experience taught me that changing the world does not always require large resources; sometimes it starts with empowering a few people, who then create a positive impact within their families and communities.</t>
  </si>
  <si>
    <t>In my opinion, Iraq is one of the diplomatically significant countries in the world. Despite facing decades of conflict and instability, Iraq remains a bridge between different regions, cultures, and political interests in the Middle East. It maintains relationships with neighboring countries, global powers, and international organizations, making dialogue and cooperation essential to its future.
As a young Iraqi woman, I have learned that diplomacy is not only practiced by governments but also by citizens who build understanding within their communities. Through my soap-making initiative, which currently provides work opportunities for 25 Iraqi women, I try to contribute to social stability and economic empowerment. I believe Iraq's greatest diplomatic strength lies in its people, especially its youth, who can foster peace, resilience, and cooperation at both local and global levels.</t>
  </si>
  <si>
    <t>I believe young people play a vital role in diplomacy because they bring new ideas, build connections across cultures, and challenge stereotypes through dialogue and action. In a world where misunderstandings and divisions are common, youth can act as bridges between communities by promoting mutual understanding, inclusion, and cooperation.
To me, Public Diplomacy means that ordinary citizens can represent the values, culture, and aspirations of their countries just as effectively as official diplomats. It is about creating positive stories, fostering people-to-people connections, and showing the world another side of our societies.
As a young Iraqi woman, I strongly relate to this idea. Iraq is often viewed through the lens of conflict and instability, but I believe our country is also full of resilience, creativity, and compassion. Inspired by community initiatives led by young Iraqis, I started a soap-making project aimed at providing employment opportunities for women in need. Today, the project supports 25 Iraqi women and helps them earn an income with dignity.
Through this initiative, I feel that I am practicing public diplomacy in my own way. By empowering women and sharing a different narrative about Iraqi youth, I hope to demonstrate that young people in Iraq are not only overcoming challenges but are also creating opportunities, strengthening communities, and contributing to a more positive image of our country.</t>
  </si>
  <si>
    <t>To me, passion is the inner drive that keeps a person moving forward despite obstacles, uncertainty, or limited resources. It is more than simply enjoying something; it is believing deeply in a purpose and being willing to work consistently to achieve it.
Passion has played an important role in helping me pursue my goals. As an Iraqi woman, I have witnessed the economic challenges that many women face and the difficulties they encounter in finding stable employment. Instead of accepting this reality, I was motivated by my passion for supporting and empowering women in my community. This inspired me to start a soap-making project aimed at creating income-generating opportunities for women in need.
Building the project was not always easy, but passion helped me remain committed, learn new skills, and continue improving despite challenges. Today, the project provides work opportunities for 25 Iraqi women. This experience taught me that passion gives meaning to our efforts, strengthens resilience, and transforms small ideas into initiatives that positively impact people's lives.</t>
  </si>
  <si>
    <t>Yes, I consider myself a creative person, not only in terms of making products, but also in finding practical ways to address challenges within my community. I believe creativity is the ability to transform simple ideas into meaningful opportunities that improve people's lives.
As a young Iraqi woman, I used creativity to establish a soap-making project that provides employment opportunities for women who face economic hardship. What started as a small initiative has grown into a project that currently supports 25 Iraqi women. Beyond generating income, the project helps women gain confidence, develop skills, and feel more connected to their communities.
I believe creativity can become an effective public diplomacy strategy because it allows ordinary citizens to share authentic stories about their countries. Iraq is often portrayed internationally through conflict and instability, but creative community initiatives can present a different image—one that reflects resilience, talent, and social solidarity.
By promoting women-led initiatives, exchanging experiences with young people from other countries, and sharing success stories through cultural and international platforms, creativity can help build mutual understanding and strengthen people-to-people connections. In this way, creative projects do not only solve local problems, but also contribute to a more positive and human-centered image of Iraq in the global community.</t>
  </si>
  <si>
    <t>public diplomacy</t>
  </si>
  <si>
    <t>Germnao Rosa</t>
  </si>
  <si>
    <t>Germano Carvalho Rosa</t>
  </si>
  <si>
    <t>gcarros1@upvnet.upv.es</t>
  </si>
  <si>
    <t>germanocrosa@gmail.com</t>
  </si>
  <si>
    <t>Spanish</t>
  </si>
  <si>
    <t>+34633180352</t>
  </si>
  <si>
    <t>PAY523915</t>
  </si>
  <si>
    <t>+34633180562</t>
  </si>
  <si>
    <t>IMG_3911.jpeg</t>
  </si>
  <si>
    <t>IMG_2320.jpeg</t>
  </si>
  <si>
    <t>ENGINEERING AND INDUSTRIAL PRODUCTION</t>
  </si>
  <si>
    <t>WASTEWATER TREATMENT</t>
  </si>
  <si>
    <t>UNIVERSIDAD POLITECNICA DE VALENCIA</t>
  </si>
  <si>
    <t>SPAIN</t>
  </si>
  <si>
    <t>UNIVERSITY OF CALIFORNIA, BERKELEY, (UC BERKELEY)</t>
  </si>
  <si>
    <t>YES, I'VE BEEN WORKING ON IT LAST 10 YEARS</t>
  </si>
  <si>
    <t>AISEC</t>
  </si>
  <si>
    <t>RESEARCHER</t>
  </si>
  <si>
    <t>Research and analysis (PhD, peer-reviewed author), technology and innovation policy, project management, and stakeholder engagement across government, academia and industry. Comfortable bridging technical and policy work. Fluent in English, Spanish and Portuguese.</t>
  </si>
  <si>
    <t>CV_Germano_Rosa_GovAI.pdf</t>
  </si>
  <si>
    <t>Yes, and I believe it happens by solving real problems, not through grand declarations. Troubled by how polluted water harms communities that can least afford it, I led the development of ElectroClean, an electrochemical solution that breaks down emerging contaminants conventional treatment leaves behind. I took it from an idea to a validated, award-winning technology, structuring the science and bringing academic, public and private partners together around it. Earlier, in Brazil, I built an open-innovation program connecting 75 municipalities and mobilising over 300 people around local challenges. Each began as something I chose to start. What drives me is turning problems I cannot ignore into impact.</t>
  </si>
  <si>
    <t>I can say where I was born, Brazil. Few countries are so consistently able to talk to everyone. It sits inside the BRICS alongside China and Russia, yet keeps deep ties with the United States and Europe, and leads in forums like the G20 and COP. Rather than choosing sides, Brazil has built influence as a bridge, a voice for the Global South that the major powers still need to engage. Its diplomacy rests on persuasion and convening rather than military weight, which is the essence of soft power. As someone who worked inside Brazilian public institutions, I have seen how this non-aligned, dialogue-first posture shapes its global role.</t>
  </si>
  <si>
    <t>Youth are not just future diplomats waiting their turn. They are already shaping how nations understand each other, through technology, culture, research and the networks they build across borders. Young people move between worlds easily, academic, professional, digital, national, which makes them natural translators between communities that rarely speak directly. In a world where mistrust spreads quickly, that ability to build genuine human connection is itself a diplomatic act.
Public diplomacy, as I understand it, is precisely this. It is influence built not through governments negotiating behind closed doors, but through people, ideas, and relationships that shape how societies see one another. It is the work of persuasion, listening and trust, rather than coercion.
I relate to it directly. My career has been spent connecting people who do not usually work together, government, universities, startups, companies, across Brazil, Spain and the United States. Bringing those actors around a shared goal, despite different languages and incentives, is public diplomacy on a smaller scale. It taught me that lasting influence comes from understanding the other side, not overpowering it. That is why this field draws me, and why I want to practise it on a larger, international stage.</t>
  </si>
  <si>
    <t>Entendido — más personal y emocional, menos conectado a tus proyectos, y con un primer párrafo más fuerte. Aquí va una versión que arranca distinto y respira más pasión genuina (~149 palabras):
Passion, to me, is the fire that refuses to go out. It is what wakes you up still thinking about a problem, what keeps you going when logic says stop, what makes you care about something far bigger than yourself. It is not a feeling that comes and goes. It is a quiet, stubborn force that gives everything you do a reason.
My passion lives in two places that have become one. I care, deeply, about protecting our environment and the people who suffer most when we fail it. And I have come to love the art of bringing people together, across borders, cultures and interests, to actually make change happen.
Because a great idea means nothing if it stays trapped in one mind or one lab. Passion is what carries it out into the world. It turns my failures into fuel, and when others feel it, they move with me.</t>
  </si>
  <si>
    <t>Yes, deeply. Creativity, for me, is the ability to solve problems others see as stuck, whether technical or human. I love both kinds equally. I have designed award-winning technical solutions, recognised with several innovation prizes, and I have found just as much creativity in diplomacy and negotiation, in reading a room and finding the path that lets very different people say yes.
That second kind is where public diplomacy lives. In Brazil, I spent years bringing together actors who rarely cooperate, government, established companies and young startups, each with different languages, incentives and fears. Making them work toward a shared goal is not a mechanical task. It is a creative one. It means understanding every nuance and every side, then designing a way forward where everyone sees their interest reflected.
That is exactly how creativity becomes effective public diplomacy. A good strategy is not about pushing one position. It is about imagining an outcome others cannot yet see, and building the trust and the narrative that carry people toward it. My passion is dialogue, truly understanding people in order to meet shared objectives and improve their quality of life. Creativity is what turns that understanding into solutions the world can actually use.</t>
  </si>
  <si>
    <t>global politics</t>
  </si>
  <si>
    <t>Azizbek Tangirov</t>
  </si>
  <si>
    <t>Azizbek Tangirov Azadovich</t>
  </si>
  <si>
    <t>alexandrepierse@gmail.com</t>
  </si>
  <si>
    <t>atangirov99@gmail.com</t>
  </si>
  <si>
    <t>flat 12, block 42, Yangi Xorazm Street, Urgench, Uzbekistan</t>
  </si>
  <si>
    <t>+998887213377</t>
  </si>
  <si>
    <t>AD5338257</t>
  </si>
  <si>
    <t>+998939867899</t>
  </si>
  <si>
    <t>Passport for foreign visits 2.pdf</t>
  </si>
  <si>
    <t>PROFILE FOTO.jpg</t>
  </si>
  <si>
    <t>Teaching English for Speakers of Other Languages</t>
  </si>
  <si>
    <t>Webster University in Tashkent</t>
  </si>
  <si>
    <t>Youth affairs agency</t>
  </si>
  <si>
    <t>https://gov.uz/oz/yoshlar</t>
  </si>
  <si>
    <t>English teacher, mentor</t>
  </si>
  <si>
    <t>private online school (IELTS, TOEFL, Business English)</t>
  </si>
  <si>
    <t>It is an online school to help young people to start their own business (teaching English, starting own small business)</t>
  </si>
  <si>
    <t>reporter, teacher, mentor, leader</t>
  </si>
  <si>
    <t>2026 CV Tangirov A..pdf</t>
  </si>
  <si>
    <t>I am working with young graduates of universities to help find their passion and mission in life. I conduct IELTS and TOEFL preparation courses. Also I have been mentoring a lot of students to achieve their goals in their career and academic life. I also inspire people to live in a green world by promoting recycling all recyclable materials like, glass, metal, paper and plastic. I run instagram account and post contents on this critical topic. Also help students to stat their own small business like establishing online courses in English. I am already changing the world in my country.</t>
  </si>
  <si>
    <t>There are countries which are strong because they have power of veto, military power and economic might. However, Young public diplomacy is about culture, digital influence, youth demographics, and trust-building. Honestly, Indonesia is the country which is trusted by the globe in terms of bridging the East and the West. This country matters for climate, AI and trade routes. It also leads the Islamic World having the biggest population consists of Muslims. Indonesia is promoting its culture, music and food and traditional customs through organic public diplomacy.</t>
  </si>
  <si>
    <t>My role is to be a translator—not of languages, but of human experience. I relate to public diplomacy as everyday trust-building: through gaming, study exchanges, and social media, I have built friendships across borders without any formal training. Those friendships taught me that diplomacy starts when we stop seeing 'the other' and start seeing 'a friend I have not met yet.' My generation inherits a fractured world, but we also inherit the tools to mend it—digital platforms, cultural fluency, and moral urgency. I want this summit to sharpen those tools so I can train others in my community to become bridge-builders too. Public diplomacy is not a career for me; it is a responsibility.</t>
  </si>
  <si>
    <t>Passion is the inner fire that turns 'I should' into 'I must.' For me, it is the joy of seeing a student pass their IELTS exam, the pride of watching a young graduate launch their first online course, and the hope of seeing my Instagram followers recycle one more bottle. Passion helps me achieve goals by giving me resilience when I am tired, clarity when I am distracted, and magnetism when I need supporters. It has turned my daily work into a mission. I am no longer just teaching or posting—I am building a greener, more educated world, one person at a time.</t>
  </si>
  <si>
    <t>Yes, I consider myself a creative person, but not in the artistic sense—my creativity lies in finding practical solutions to everyday challenges and connecting different ideas to inspire action. For example, when I teach IELTS and TOEFL, I do not just give my students boring grammar rules; instead, I create interactive games, real-life dialogues, and personalized exercises that make learning enjoyable and effective. Similarly, on my Instagram account, where I promote recycling, I avoid posting heavy statistics that people might ignore; instead, I share short videos, simple infographics, and success stories that motivate my followers to recycle glass, metal, paper, and plastic in their daily lives. I believe this creative mindset can become a powerful public diplomacy strategy because public diplomacy is ultimately about building trust and understanding between people from different countries. First, I can use storytelling to share authentic experiences of my students and recycling community, showing the world how education and environmental action are transforming lives in my country. Second, I can leverage social media to collaborate with young people globally, exchanging ideas about sustainability, language learning, and youth entrepreneurship, which naturally creates cross-cultural friendships. Finally, I can mentor other young graduates to start their own online courses or community projects, multiplying this positive impact. My creativity is not about being famous—it is about inspiring real change and connecting people, which is exactly what effective public diplomacy requires in the 21st century.</t>
  </si>
  <si>
    <t>Scholarships channel on Telegram</t>
  </si>
  <si>
    <t>Sriya Bendadi</t>
  </si>
  <si>
    <t>bensriya528@gmail.com</t>
  </si>
  <si>
    <t>sriyamohanbendadi@gmail.com</t>
  </si>
  <si>
    <t>Flat B1,Sabitha Nilayam ,Near Grama Panchayat Office, Kolanukonda, Vijayawada, India</t>
  </si>
  <si>
    <t>+919392781276</t>
  </si>
  <si>
    <t>Y8220132</t>
  </si>
  <si>
    <t>9398034548</t>
  </si>
  <si>
    <t>Sriyamohan_</t>
  </si>
  <si>
    <t>DocScanner 24-Dec-2024 05-18 PM.pdf</t>
  </si>
  <si>
    <t>83DBA026-E480-4E91-AA67-091C49D088F5.jpeg</t>
  </si>
  <si>
    <t>Masters in performing arts (Kuchipudi)</t>
  </si>
  <si>
    <t>Acharya Nagarjuna University</t>
  </si>
  <si>
    <t>Yes , MOU between Acharya Nagarjuna University and Anisha reddy organisation</t>
  </si>
  <si>
    <t>Professional Kuchipudi artist, Engineer,</t>
  </si>
  <si>
    <t>Sriya Bendadi Profile .pdf</t>
  </si>
  <si>
    <t>Yes, I believe meaningful change begins at the individual level. As a Kuchipudi dancer and instructor, I contribute by preserving and promoting India’s cultural heritage among younger generations. Through my dance academy, I train students not only in technique but also in the values, history, and philosophy embedded in Indian art forms. I have participated in cultural programs, workshops, and awareness events that encourage social responsibility and environmental consciousness. I also use digital platforms to share knowledge about Indian traditions and performing arts. By educating, inspiring, and connecting people through culture, I strive to create a positive and lasting impact.</t>
  </si>
  <si>
    <t>In my opinion, India is one of the most diplomatically significant countries in the world. As the world’s largest democracy, India maintains strong relations with nations across different regions and political systems. Its foreign policy emphasizes peace, cooperation, sustainable development, and mutual respect. Through initiatives such as the G20 Presidency, International Day of Yoga, and cultural exchanges, India promotes dialogue and global understanding. India’s strategic location, economic growth, technological advancement, and rich cultural heritage make it an important bridge between developed and developing nations. Its commitment to multilateralism strengthens its role in addressing global challenges collectively.</t>
  </si>
  <si>
    <t>Youth play a crucial role in diplomacy because they represent innovation, diversity, and the future of global cooperation. In an interconnected world, young people can build international understanding through education, cultural exchange, technology, and social engagement. They act as bridges between societies by promoting dialogue, tolerance, and collaborative solutions to global challenges such as climate change, inequality, and cultural misunderstanding.
I strongly relate to the concept of Public Diplomacy because it focuses on connecting people beyond government institutions. As a Kuchipudi artist and educator, I have experienced how culture can transcend language and geographical barriers. Through dance performances, workshops, and cultural interactions, I share India’s artistic traditions while learning about other cultures. Such exchanges foster mutual respect and appreciation among communities.
Public diplomacy is not limited to diplomats; artists, educators, researchers, and youth can all contribute to shaping a nation’s image and strengthening international relationships. My academic background in Artificial Intelligence and my involvement in performing arts allow me to combine technology and culture to reach wider audiences. I believe that cultural storytelling, digital communication, and artistic collaboration are powerful tools for creating global understanding. Therefore, I see myself as an active participant in public diplomacy through cultural education, artistic expression, and intercultural engagement.</t>
  </si>
  <si>
    <t>Passion is the inner drive that motivates a person to pursue a purpose with dedication and enthusiasm. It provides the energy to overcome obstacles, remain focused, and continue learning even during challenging situations. Passion transforms effort into commitment and helps individuals maintain consistency in their work.
For me, passion is reflected in my dedication to Kuchipudi dance, cultural education, and continuous learning. It has encouraged me to spend years mastering my art, teaching students, conducting research, and participating in cultural programs. Passion has also motivated me to combine my academic background in technology with my interest in preserving cultural heritage.
When challenges arise, passion reminds me of the larger purpose behind my efforts. It inspires creativity, resilience, and self-discipline. As a result, I am able to set meaningful goals, remain committed to achieving them, and contribute positively to society through culture, education, and artistic excellence.</t>
  </si>
  <si>
    <t>Yes, I consider myself a creative person because creativity is an essential part of both my artistic and academic journey. As a Kuchipudi performer, choreographer, and instructor, I constantly explore new ways to present traditional stories while preserving their authenticity. Creativity allows me to communicate ideas, emotions, and cultural values in ways that are engaging and meaningful.
Creativity can become an effective public diplomacy strategy by making cultural communication more accessible and impactful. Artistic performances, digital storytelling, cultural festivals, educational workshops, and social media campaigns can help nations connect with global audiences. Creative initiatives encourage dialogue, reduce stereotypes, and build positive perceptions among people from different cultural backgrounds.
In my experience, dance is a powerful diplomatic tool because it conveys universal human emotions beyond language barriers. By combining traditional art forms with modern technology and digital platforms, cultural messages can reach diverse international audiences. Creative public diplomacy strengthens mutual understanding, promotes cultural exchange, and encourages collaboration among communities.
Therefore, creativity is not only an artistic skill but also a strategic resource that helps build trust, foster intercultural relationships, and contribute to peaceful global engagement through culture, education, and shared human experiences.</t>
  </si>
  <si>
    <t>Safia Raoof</t>
  </si>
  <si>
    <t>safiaraoof@outlook.com</t>
  </si>
  <si>
    <t>safia.raoof.25@gmail.com</t>
  </si>
  <si>
    <t>Doctor's Colony, Molvi Stop, Lal Bazar, Near J&amp;K Bank, Srinagar, India</t>
  </si>
  <si>
    <t>(+91) 9419031383</t>
  </si>
  <si>
    <t>V8695584</t>
  </si>
  <si>
    <t>(+91) 7051471971</t>
  </si>
  <si>
    <t>https://www.linkedin.com/in/safia-r-3b745a326?utm_source=share_via&amp;utm_content=profile&amp;utm_medium=member_ios</t>
  </si>
  <si>
    <t>https://www.instagram.com/safiaraoof?igsh=MWc5bmV0dW44NXMxYQ%3D%3D&amp;utm_source=qr</t>
  </si>
  <si>
    <t>https://www.facebook.com/profile.php?id=100080145196615</t>
  </si>
  <si>
    <t>Passport Safia Raoof.pdf</t>
  </si>
  <si>
    <t>IMG_7066.jpg</t>
  </si>
  <si>
    <t>BA (Hons.)</t>
  </si>
  <si>
    <t>Journalism &amp; Mass Communication</t>
  </si>
  <si>
    <t>Cluster University Srinagar</t>
  </si>
  <si>
    <t>Yes, We The Change &amp; Video Volunteers</t>
  </si>
  <si>
    <t>https://linktr.ee/wethechangeind?utm_source=ig&amp;utm_medium=social&amp;utm_content=link_in_bio&amp;fbclid=PAZXh0bgNhZW0CMTEAc3J0YwZhcHBfaWQPOTM2NjE5NzQzMzkyNDU5AAGnQj4MadqWlRg7E5O4zly4WY6knd2dRjVTn4viqI7mF2W468VXTSaD4NMp-Bo_aem_78UvOM_p0tsC5QGRKOI4Lg</t>
  </si>
  <si>
    <t>Youngest Menstrual Education</t>
  </si>
  <si>
    <t>I'm part-time / self-employed as a freelancer in Social Media, Content Creation &amp; Communication</t>
  </si>
  <si>
    <t>Content Creator, Social Media Professional, Video Editor</t>
  </si>
  <si>
    <t>Safia Raoof Resume.pdf</t>
  </si>
  <si>
    <t>Yes, I have always believed that change starts with actions. Growing up in Kashmir, I witnessed uncertainty and challenges from a young age, which made me more aware of social issues and the impact that they have on local people's lives. Rather than only thinking about change, I tried contributing in ways that were within my reach. I have participated in discussions and debates on topics such as identity, mental well-being, and gender-related issues while also using social media as a platform to share ideas and encourage conversations that are meaningful. Through leadership roles in school and college, I have also worked to represent others, support and listen to the people around me, that helped me create a positive impact within my community.</t>
  </si>
  <si>
    <t>I think China is one of the most diplomatically significant countries in the world today. Beyond being an economic power, China has progressively expanded its global influence through trade, technology, infrastructure projects, and international collaborations. Its role in shaping global discussions around development, economics, and international relations has become very important. As the world continues to grow, countries are closely relating to China's policies and global involvements.</t>
  </si>
  <si>
    <t>Today's youth play an important role in diplomacy because they bring new viewpoints, innovative ideas, and the skill to connect with people across the world. Young people today are more connected than any previous generation because of technology and social media, it allows them to participate in global conversations and raise awareness about issues that affect the society. Diplomacy is no longer limited to governments and political leaders, young people can also influence change through communication, advocacy, and cultural exchange.
I personally relate strongly to the idea of public diplomacy because my journey has always involved communication and connecting with people. As a Journalism and Mass Communication student and content creator, I have spent years creating content that reaches different audiences and communities. Through social media, I have learnt that communication can create opinions, awareness, and motivate relevant conversations. I have also held leadership positions as Student President and Class Representative, where I learned the importance of listening to people and also representing their voices.</t>
  </si>
  <si>
    <t>For me, passion is something that gives me purpose and excitement to do the things that I do. It is the inner motivation that keeps a person moving forward even when difficulties and challenges arise. Content creation has always been a passion for me. I started creating content when I was young simply because I enjoyed filming videos, taking photographs, and expressing ideas in a creative manner. Over time, this passion slowly grew into opportunities where I began freelancing and working with multiple clients. What started as something I loved eventually became a skill that contributed to my growth.
I believe passion helps people achieve their goals because it helps subconsciously with discipline, determination, and effort. When a human genuinely enjoys what he/she does, success is more meaningful because the journey is rewarding at the end of the day.</t>
  </si>
  <si>
    <t>Yes, I consider myself a creative person because creativity has always been a major part of my life. I enjoy content creation, photography, graphic designing, and finding unique and aesthetic ways to communicate ideas. I believe creativity is not only about creating something that is visually appealing but it is also about presenting ideas and thoughts in ways that help connect with people emotionally. Creativity can become an effective public diplomacy strategy because people are more likely to engage with stories and experiences than with information alone. In today's digital world, communication through videos, social media campaigns, photography, and storytelling can help in building connections between cultures and communities.
As someone who creates content and manages social media, I have learnt that messages become more impactful when they are authentic and relatable. E.g., sharing stories of communities, cultures, traditions, and personal experiences help people from different backgrounds understand each other better. Creativity can reduce barriers in the field of communication, which is one of the key goals of public diplomacy.</t>
  </si>
  <si>
    <t>Opportunities Corner</t>
  </si>
  <si>
    <t>Strategic Communication | Techniques for effective advocacy, public diplomacy, and media engagement.</t>
  </si>
  <si>
    <t>Binyameen A Wahid</t>
  </si>
  <si>
    <t>Master City, Gujranwala, Pakistan</t>
  </si>
  <si>
    <t>+92 303 9507928</t>
  </si>
  <si>
    <t>AX3747251</t>
  </si>
  <si>
    <t>Passport-2.pdf</t>
  </si>
  <si>
    <t>Screenshot 2026-06-19 at 5.40.27 PM.png</t>
  </si>
  <si>
    <t>Environmental Sciences</t>
  </si>
  <si>
    <t>Climate Policy</t>
  </si>
  <si>
    <t>University of Gujarat</t>
  </si>
  <si>
    <t>Yes, I am</t>
  </si>
  <si>
    <t>Yes, CSCD</t>
  </si>
  <si>
    <t>https://www.thecscd.org</t>
  </si>
  <si>
    <t>Academic Coordinator</t>
  </si>
  <si>
    <t>Binyameen_CV (4).pdf</t>
  </si>
  <si>
    <t>Changing the world is a myth, yet a sweet lie that we often think about. But, yes, change begins with the thought.</t>
  </si>
  <si>
    <t>I think Pakistan's role in mediating the current Iran-Israel-US tensions has been remarkable and indeed diplomatically successful.</t>
  </si>
  <si>
    <t>Youth defines diplomacy, and diplomacy begins by inclusion of youth in policymaking.</t>
  </si>
  <si>
    <t>Passion is the reason behind justification of all risks involved in exploration of new goals and ideas.</t>
  </si>
  <si>
    <t>I am, indeed. I see the world through the lens of art, and art alone.</t>
  </si>
  <si>
    <t>Valeriia Pober</t>
  </si>
  <si>
    <t>valeriapober1@gmail.com</t>
  </si>
  <si>
    <t>lisagamilton@gmail.com</t>
  </si>
  <si>
    <t>Kilińskiego 12, Oleśnica, Poland</t>
  </si>
  <si>
    <t>+48881642027</t>
  </si>
  <si>
    <t>GB630024</t>
  </si>
  <si>
    <t>+380984272675</t>
  </si>
  <si>
    <t>https://www.linkedin.com/in/valeria-pober/</t>
  </si>
  <si>
    <t>https://www.instagram.com/ekleraq?igsh=eHA0emtuYmR3bm45&amp;utm_source=qr</t>
  </si>
  <si>
    <t>https://www.facebook.com/share/17cFeE84Vp/?mibextid=wwXIfr</t>
  </si>
  <si>
    <t>2021-12-28_091387.jpg</t>
  </si>
  <si>
    <t>photo_5192739929476240830_x.jpg</t>
  </si>
  <si>
    <t>Cyber Security</t>
  </si>
  <si>
    <t>Civitas University</t>
  </si>
  <si>
    <t>Yes, I am familiar with academic research. I wrote my bachelor's/master's thesis in International Relations with a specialization in Cybersecurity, focusing on 'The Impact of the 2007 Estonia Cyberattacks on NATO Policy.'</t>
  </si>
  <si>
    <t>SOS Wioski Dziecięce</t>
  </si>
  <si>
    <t>https://wioskisos.org/</t>
  </si>
  <si>
    <t>Volunteer Fundraiser</t>
  </si>
  <si>
    <t>International relations, public diplomacy, leadership, data analysis, cross-cultural communication, public speaking, research, critical thinking, problem solving, teamwork, project management, cybersecurity awareness</t>
  </si>
  <si>
    <t>Valeria Pober.pdf</t>
  </si>
  <si>
    <t>Yes, I have always believed that meaningful change starts with personal action, even on a small scale. Through my work with Southwestern Advantage, I engaged with hundreds of families, helping them make informed decisions about educational opportunities for their children and supporting their academic success. I am also a language tutor, helping my students improve their English, Ukrainian, and Russian language skills and achieve their learning goals. I strive to make a positive impact by empowering others, encouraging learning, as well as building connections across different communities.</t>
  </si>
  <si>
    <t>I think that the USA is among the most diplomatically important countries in the world today. Due to the global political, economical, security and innovative leadership of the USA, its influence on international relations goes beyond its own borders. The USA is an active player in international organizations, conflict resolution, humanitarian aid and promotion of democracy. Alliances and partnerships of the United States influence global security and cooperation of the economies. Every nation is confronted with certain problems, but the United States continues to be an important player in the diplomacy that solves many global problems.</t>
  </si>
  <si>
    <t>In my view, youth is important in diplomacy because they provide new ideas, creativity, and the ability to engage in dialogue among different societies. I believe, that in today's interconnected society, young people are capable of creating a mutual understanding, breaking down stereotypes, and fostering cooperation on various global problems. 
I strongly relate to the idea of public diplomacy because I have experienced the value of connecting with people from different backgrounds. Through my studies in International Relations, participation in international exchange programs, work with families through Southwestern Advantage, and experience as a language tutor, I have learned that meaningful relationships often begin with communication and understanding. 
For me, public diplomacy is a powerful way to build understanding between people from different cultures and backgrounds. I believe young people can contribute by participating in international exchanges, sharing their perspectives, and engaging in meaningful dialogue. By staying open-minded and willing to learn from others, we can help create stronger connections and encourage cooperation across borders.</t>
  </si>
  <si>
    <t>To me, passion is a strong sense of purpose that motivates a person to keep moving forward, even when challenges arise. It is not just excitement about something, but the commitment to continue learning, improving, and working toward meaningful goals.
Passion helps me achieve my goals by providing the motivation to keep going during difficult moments, whether that's researching complex topics, volunteering, or pushing through challenges like door-to-door fundraising, which required stepping out of my comfort zone and engaging directly with strangers. When you're passionate about something, putting in the effort to improve and succeed feels natural, which makes it easier to keep making progress over time.</t>
  </si>
  <si>
    <t>Yes, I think I am a creative person, not in the sense of being a great artist, but in the way I approach problems and communication. For me, creativity means finding unexpected ways to connect with people and make complicated things feel simple and relatable.
I think this is exactly what public diplomacy needs today. People are constantly overwhelmed with information, so if you want your message to actually reach someone, it has to be genuine and engaging, not formal or distant. Things like storytelling, cultural exchange, or even a well-made social media post can do more for mutual understanding between countries than many official statements.
From my own experience, whether meeting families through door-to-door work or studying in an international environment with people from different countries, I have learned that meaningful connections begin with listening and understanding others. You adapt, you find common ground, and you speak in a way that makes sense to the person in front of you.
I believe public diplomacy works best when people feel heard and understood. That is why I would focus on creating meaningful conversations and making international issues more accessible, especially for younger generations.</t>
  </si>
  <si>
    <t>Satyam Sharma</t>
  </si>
  <si>
    <t>satyamhihtan@gmail.com</t>
  </si>
  <si>
    <t>Sadar Bazar, Jhansi, Nigeria</t>
  </si>
  <si>
    <t>+918957959326</t>
  </si>
  <si>
    <t>S3598028</t>
  </si>
  <si>
    <t>https://www.linkedin.com/in/itssdsharma/</t>
  </si>
  <si>
    <t>Passport Satyam Sharma (1).pdf</t>
  </si>
  <si>
    <t>1773943281941.jpg</t>
  </si>
  <si>
    <t>Post Graduate</t>
  </si>
  <si>
    <t>PGDM/MBA</t>
  </si>
  <si>
    <t>Marketing &amp; HR</t>
  </si>
  <si>
    <t>Jaipuria Institute of Management</t>
  </si>
  <si>
    <t>Writer, Thinker, Speaker, Business Professional</t>
  </si>
  <si>
    <t>Resume SS.docx</t>
  </si>
  <si>
    <t>Yes, in a sense. My purpose is to help people solve problems, learn new skills, think more clearly, and make better decisions.I have focused on helping people around me through mentoring colleagues, sharing professional knowledge, and improving business processes that increase efficiency and customer satisfaction. I also believe in treating people with respect, supporting my team, and continuously learning so I can contribute more effectively. While these may seem like small actions, consistent positive contributions can create a lasting impact over time.</t>
  </si>
  <si>
    <t>There isn't a single universally correct answer because diplomatic influence depends on factors such as economic power, military capability, alliances, geography, and participation in international organizations. Like if talk about my own country "BHARAT" - ncreasing geopolitical importance due to its large economy, strategic location in the Indo-Pacific, leadership in the Global South, and participation in forums like the G20, BRICS, and Quad.
While globally the United States is generally considered the most diplomatically significant because of its extensive diplomatic network, global alliances, economic influence, and leadership role in many international institutions.</t>
  </si>
  <si>
    <t>Youth play a vital role in diplomacy because they bring fresh ideas, innovation, and a global perspective. They are often at the forefront of addressing issues such as climate change, technology, education, peacebuilding, and sustainable development. Through social media, cultural exchanges, entrepreneurship, and volunteer initiatives, young people can build understanding across borders and challenge stereotypes.
I believe diplomacy is not limited to governments. Public diplomacy is about fostering mutual understanding between people, cultures, and nations. In my own capacity, I contribute by communicating respectfully with people from diverse backgrounds, promoting cultural understanding, and sharing knowledge and experiences.</t>
  </si>
  <si>
    <t>Passion is a strong inner drive and enthusiasm for something that gives a person purpose and motivation. It is what keeps you committed even when you face challenges or setbacks. Unlike short-term excitement, passion provides long-term dedication and encourages continuous learning and self-improvement.
Passion helps me achieve my goals by keeping me focused, resilient, and willing to put in consistent effort. It motivates me to develop new skills, embrace challenges as opportunities to learn, and stay committed even when progress is slow.</t>
  </si>
  <si>
    <t>Yes, I consider myself a creative person. For me, creativity is not just about generating new ideas—it's about finding practical and effective ways to solve problems and communicate with people. I enjoy looking at challenges from different perspectives and adapting my approach based on the audience and the situation.
I would contribute by creating inclusive and people-centered initiatives, listening to diverse perspectives, and using innovative communication methods to encourage dialogue rather than one-way messaging. I believe that the most effective public diplomacy is built on authenticity, respect, and long-term relationships, not just promotion.</t>
  </si>
  <si>
    <t>News Paper - Amar Ujala</t>
  </si>
  <si>
    <t>Global Politics</t>
  </si>
  <si>
    <t>Yuliia Sychinska</t>
  </si>
  <si>
    <t>Sychinska Yuliia</t>
  </si>
  <si>
    <t>sychinkaju@gmail.com</t>
  </si>
  <si>
    <t>sychinsska@gmail.com</t>
  </si>
  <si>
    <t>Holosiivskyi avenue, Kyiv, Ukraine</t>
  </si>
  <si>
    <t>+380667728957</t>
  </si>
  <si>
    <t>GD052873</t>
  </si>
  <si>
    <t>+380958434300</t>
  </si>
  <si>
    <t>https://www.linkedin.com/in/yuliia-sychinska-758a1239a?utm_source=share&amp;utm_campaign=share_via&amp;utm_content=profile&amp;utm_medium=ios_app</t>
  </si>
  <si>
    <t>https://www.instagram.com/sychinsska?igsh=Zm00aGQyNW8zM25l&amp;utm_source=qr</t>
  </si>
  <si>
    <t>https://www.facebook.com/share/14enQADQN3F/?mibextid=wwXIfr</t>
  </si>
  <si>
    <t>IMG_7818.jpeg</t>
  </si>
  <si>
    <t>IMG_5973.jpeg</t>
  </si>
  <si>
    <t>Chemistry engineering and bioengineering</t>
  </si>
  <si>
    <t>Biotechnology and bioengineering</t>
  </si>
  <si>
    <t>Taras Shevchenko National University of Kyiv</t>
  </si>
  <si>
    <t>Ukraine</t>
  </si>
  <si>
    <t>Yes, i have been working as a biologist for 2 years</t>
  </si>
  <si>
    <t>Only university programs</t>
  </si>
  <si>
    <t>Biologist</t>
  </si>
  <si>
    <t>Biologist, SMM, writer</t>
  </si>
  <si>
    <t>IMG_7820.jpeg</t>
  </si>
  <si>
    <t>Yes — and I think about it constantly. I want to work on problems that actually matter at an international level: access to education, global inequality, the decisions that shape how millions of people live. Biology gave me a way of thinking — systematic, evidence-based, curious — but I don't want to stay in one lane. I want to be in rooms where real decisions are made, where policies are built, where young people finally have a voice. Change isn't one field. It's what happens when you stop waiting for someone else to fix things and start figuring out how to do it yourself.</t>
  </si>
  <si>
    <t>Ukraine. Not because of size or history, but because of what happened after February 2022. Ukraine forced the entire world to take a position — on sovereignty, on international law, on what values actually mean when they're tested. That is diplomatic significance in its rawest form. As a Ukrainian, I didn't learn this from textbooks. I lived it. I watched my country reshape alliances, redefine European security, and prove that a nation's will can outweigh its resources. Significance isn't always about projection of power. Sometimes it's about refusing to disappear — and making the world rethink everything it assumed was stable.</t>
  </si>
  <si>
    <t>Young people are not the future of diplomacy — we are already doing it. Every time someone shares a story that crosses a border, challenges a stereotype, or makes a stranger feel understood, that is public diplomacy. And young people do this instinctively, every day.
Public diplomacy works through culture, conversation, and connection. It meets people where they are — and that's exactly where youth operates naturally. We don't wait for permission to have an opinion or start a dialogue. We just do it.
I relate to this personally. I create content — I take ideas and translate them into something people actually want to engage with. That process taught me that the way you communicate something matters as much as what you're communicating. Reaching someone's attention is a skill. Shifting someone's perspective is an art.
As a young Ukrainian, I also understand what it means when the world looks away — and what changes when it finally pays attention. That experience doesn't make me cynical. It makes me want to be in spaces where narratives are shaped and stories are told on our own terms</t>
  </si>
  <si>
    <t>Passion is what you keep doing even when it's inconvenient. It's not excitement — it's consistency toward something that genuinely matters to you.
For me it shows up as this constant need to understand things and then do something with that understanding. I studied biology, started making content, got interested in international issues — and none of that felt random. It all connects to the same core thing: I want to be useful at a big scale.
When I'm passionate about something, I don't need to force myself to work on it. I just do. That's the practical part — passion removes a lot of the friction that stops people from following through.
It also helps when things don't work out, because you're not doing it for the result only. You're doing it because you actually care. And that makes it easier to start over when you need to.</t>
  </si>
  <si>
    <t>Yes. I've always been drawn to unusual combinations — studying biology while being obsessed with communication, wanting to work in international relations while coming from a science background. I never really fit into one category and I stopped trying to.
I think that's what creativity actually is — not being able to help yourself from seeing things differently. I want to make things. Content, campaigns, conversations. Something that didn't exist before I showed up.
In public diplomacy that matters a lot. You're trying to reach real people, not institutions. And real people don't respond to formal messaging — they respond to something that feels genuine and a little unexpected.
If I were building a public diplomacy strategy, I'd focus on storytelling that doesn't look like diplomacy on the surface. Content that makes someone curious about a country or an issue before they even realize that's what's happening. Social media does this naturally — you watch something because it's interesting, not because it's important.
I already think this way when I create content. I want to apply it at a bigger scale — where the stories I help tell actually influence how people understand the world around them</t>
  </si>
  <si>
    <t>Vladyslava Shcherbyna</t>
  </si>
  <si>
    <t>scherbinav07@gmail.com</t>
  </si>
  <si>
    <t>devyatkova@gmail.com</t>
  </si>
  <si>
    <t>Manor Heights, blk A, flt1, Triq Charles Sciberras, St. Julians, Malta</t>
  </si>
  <si>
    <t>+35677518685</t>
  </si>
  <si>
    <t>GN239991</t>
  </si>
  <si>
    <t>Krystyna Devyatkova (Mother) -+35677518636</t>
  </si>
  <si>
    <t>https://www.linkedin.com/in/akkerushi/</t>
  </si>
  <si>
    <t>https://www.facebook.com/akkerushi/</t>
  </si>
  <si>
    <t>Passport_Shcherbyna_Vlada.pdf</t>
  </si>
  <si>
    <t>IMG_20260607_174953.jpg</t>
  </si>
  <si>
    <t>Advanced Diploma in IT (Software Development)</t>
  </si>
  <si>
    <t>MQF Level 4</t>
  </si>
  <si>
    <t>Software Development</t>
  </si>
  <si>
    <t>Malta College of Arts, Science and Technology (MCAST)</t>
  </si>
  <si>
    <t>Malta</t>
  </si>
  <si>
    <t>Yes. I have participated in STEM and technology-related projects involving robotics, programming and artificial intelligence.</t>
  </si>
  <si>
    <t>IEEE Malta and MCAST</t>
  </si>
  <si>
    <t>https://ieeemalta.org</t>
  </si>
  <si>
    <t>Volunteer and Event Support Assistant</t>
  </si>
  <si>
    <t>Software Development, Robotics, Artificial Intelligence, Teamwork, Leadership, STEM Project Development, Public Speaking, Event Organization, Cross-Cultural Collaboration</t>
  </si>
  <si>
    <t>Vladyslava_Shcherbyna_CV_Malta.pdf</t>
  </si>
  <si>
    <t>Yes. When war forced me to leave Ukraine in 2022, I realized that waiting for the world to change on its own is not an option.
I believe changing the world begins with changing yourself - how you think, how you respond to challenges, and how you treat others. Moving to Malta forced me to adapt to a new country, language, and education system. Instead of giving up, I chose to learn, grow, and contribute.
I founded and lead UCG Robotics, a student team that will represent Malta at the IEEE Global Robot Championships 2026. I am also a member of Malta's female team preparing for the First Global Challenge. These are spaces where young people from different countries learn to cooperate, build trust, and solve problems together.
For me, changing the world starts where I already am: in a team of people from different countries, solving problems no one can solve alone.</t>
  </si>
  <si>
    <t>I believe Indonesia is one of the most diplomatically significant countries in the world. As the world's largest Muslim-majority democracy and a founding member of the Non-Aligned Movement, it has long served as a bridge between different regions, cultures, and political perspectives.
During its G20 presidency in 2022, Indonesia maintained dialogue with countries holding very different positions on major global issues, including the war in Ukraine, demonstrating that diplomacy is not only about choosing sides but also about keeping communication open when it matters most.
In an increasingly divided world, this ability to build dialogue across differences is what makes Indonesia diplomatically significant.</t>
  </si>
  <si>
    <t>Public diplomacy is often described as a government's effort to communicate with foreign publics. But I believe its most powerful form happens outside official channels - through people who carry their own stories, cultures, and experiences across borders.
Youth are not the future of diplomacy. We are already practicing it.
When I founded UCG Robotics and brought together students from different countries to build a team that will represent Malta at the IEEE Global Robot Championships 2026, we were not thinking about geopolitics. We are solving engineering problems together. And in doing so, we are building exactly what diplomacy requires: trust, communication, and the ability to work across differences.
I know this from two directions. As a Ukrainian living in Malta, I am myself a bridge between cultures - I carry the perspective of someone who lost stability overnight and rebuilt it through cooperation with people who had no obligation to help, but chose to.
What youth bring to diplomacy is not experience in negotiation. It is something harder to teach: the willingness to start from trust rather than suspicion, and to see difference as a resource rather than a threat.
That is the kind of diplomacy I practice every day. YPDS would give me the opportunity to understand it more deeply, learn from other young leaders, and apply those lessons within the international STEM communities I am already helping to build.</t>
  </si>
  <si>
    <t>Most people treat curiosity and passion as separate things. I think they are two parts of the same engine — curiosity asks the question, passion refuses to stop until it finds the answer.
But passion is not just a feeling. It is what keeps you moving when the goal is far away, resources are limited, and results are not yet visible.
When war forced me to leave Ukraine and start over in Malta, passion did not make the obstacles disappear. It changed how I responded to them. Instead of focusing on what I had lost, I focused on what I could build - new skills, new connections, new opportunities, and eventually new goals.
That is how passion helps me achieve goals: not by making the path easier, but by making it impossible to stop walking it.
I have never waited to feel ready. I become ready by moving forward.</t>
  </si>
  <si>
    <t>Creativity, for me, is not about artistic talent. It is about seeing possibilities where others see limitations and being willing to build something that does not yet exist.
When I founded UCG Robotics, there was no established team, no ready-made structure, and no guarantee that the idea would succeed. Creativity meant imagining what could be built and then finding a way to bring people together around that vision.
I believe the same principle applies to public diplomacy. The most effective diplomacy does not begin with speeches or formal agreements. It begins when people from different cultures work toward a shared goal and discover that cooperation is more productive than division.
That is why I see robotics, STEM competitions, and technology projects as powerful diplomatic platforms. Young people do not need to be taught how to communicate across cultures after the project is finished. The collaboration itself becomes the lesson.
Creativity allows us to design those opportunities. And when it works, the diplomacy happens on its own.</t>
  </si>
  <si>
    <t>Public Diplomacy through Technology, Strategic Communication and Youth Leadership</t>
  </si>
  <si>
    <t>Merey Zhylkybay</t>
  </si>
  <si>
    <t>zh.mereyka05@gmail.com</t>
  </si>
  <si>
    <t>City Almaty,region Almaly, Tole bi,278, City Shymkent,region Saryagash,street Ryskulov, Apt 21, ALMATY, Kazakhstan</t>
  </si>
  <si>
    <t>+77752031147</t>
  </si>
  <si>
    <t>051105601565</t>
  </si>
  <si>
    <t>+77763231177</t>
  </si>
  <si>
    <t>mereika.d</t>
  </si>
  <si>
    <t>051105601565-20260615103552117.pdf</t>
  </si>
  <si>
    <t>5294415875685424215.jpg</t>
  </si>
  <si>
    <t>two foreign language/ english and french teacher</t>
  </si>
  <si>
    <t>Kazakh national pedagogical university named after Abai</t>
  </si>
  <si>
    <t>juz40_online</t>
  </si>
  <si>
    <t>https://www.instagram.com/juz40.eng?igsh=MXY3cXJwODVrYmtvNA==</t>
  </si>
  <si>
    <t>teaching students and preparing to UNT</t>
  </si>
  <si>
    <t>teacher</t>
  </si>
  <si>
    <t>CURRICULUM VITAE_ zhylkybay merey.pdf</t>
  </si>
  <si>
    <t>Yes, I have always believed that changing the world starts with addressing problems within one's immediate surroundings. In my personal capacity, I have worked to make a difference by supporting people around me, sharing knowledge, and contributing to initiatives that create social value. Whether helping classmates overcome academic challenges, participating in community service activities, or raising awareness about important issues, I have tried to turn concern into action. These experiences have shown me that impact is not measured solely by scale but by the positive difference made in people's lives. I aspire to continue creating meaningful change through sustained effort and leadership</t>
  </si>
  <si>
    <t>A diplomatically significant country is one that can influence global affairs through its political, economic, and strategic relationships. In my view, the United States remains one of the most diplomatically significant countries because of its extensive alliances, role in international organizations, economic strength, and influence on global security issues. Its decisions often affect international trade, climate policy, conflict resolution, and technological development. However, diplomatic significance is increasingly shared with countries such as China, India, and France, which play important roles in shaping regional and global cooperation. Effective diplomacy today depends on collaboration among multiple influential nations rather than a single dominant power.</t>
  </si>
  <si>
    <t>Youth play a vital role in diplomacy by fostering cross-cultural understanding, promoting dialogue, and bringing innovative solutions to global challenges. As digital natives, young people can connect with diverse communities, challenge stereotypes, and build international networks that strengthen mutual trust. I relate strongly to the idea of public diplomacy because it emphasizes people-to-people connections beyond formal government interactions. Through education, cultural exchange, social media engagement, and community initiatives, individuals can represent their country's values and learn from others. I believe youth can act as bridges between cultures, helping create a more inclusive, peaceful, and cooperative international community.</t>
  </si>
  <si>
    <t>assion is a deep sense of enthusiasm and commitment toward something meaningful. It provides the motivation to work consistently, overcome obstacles, and remain focused even when challenges arise. Passion transforms goals from mere ambitions into purposeful pursuits, making the journey more rewarding and sustainable. For me, passion helps maintain discipline, fuels continuous learning, and encourages perseverance during difficult times. It keeps me motivated to improve my skills and strive for excellence. While talent and opportunities are important, passion is often the driving force that enables individuals to stay dedicated, adapt to setbacks, and ultimately achieve their long-term goals.</t>
  </si>
  <si>
    <t>Yes, I consider myself a creative person because I enjoy thinking beyond conventional solutions and expressing ideas in ways that are engaging and meaningful. Creativity, for me, is the ability to connect different perspectives, communicate clearly, and adapt messages for diverse audiences.
This creativity can be turned into an effective public diplomacy strategy by focusing on how ideas are shared across cultures. First, storytelling can be used to present national values, history, and achievements in a relatable and human-centered way, helping international audiences form emotional connections. Second, digital platforms offer powerful tools to reach global communities instantly; creative campaigns on social media, videos, and podcasts can engage especially younger audiences and encourage dialogue.
Third, cultural exchange programs such as art, music, education, and sports initiatives can build mutual respect and understanding between nations. Creativity also supports innovation in designing collaborative projects that address shared global challenges like climate change, education, and peacebuilding.
Finally, effective public diplomacy requires authenticity. Creative communication should reflect real values and encourage empathy rather than stereotypes. By combining imagination with purpose, creativity becomes a bridge between cultures, strengthening trust and cooperation on the global stage.</t>
  </si>
  <si>
    <t>intercultural communication</t>
  </si>
  <si>
    <t>Afnan Abulatifa</t>
  </si>
  <si>
    <t>Afnan Mohammed Awad Abulatifa</t>
  </si>
  <si>
    <t>Afnanabwltyft@gmail.com</t>
  </si>
  <si>
    <t>Afnanlatefa08@gmail.com</t>
  </si>
  <si>
    <t>Jama Eldeen Zaki, Egypt, Jisr Alswees, Egypt</t>
  </si>
  <si>
    <t>+201019484256</t>
  </si>
  <si>
    <t>5742094</t>
  </si>
  <si>
    <t>+201061418664</t>
  </si>
  <si>
    <t>٢٠٢٤١١٠٦_١٣٢٧١٦.jpg</t>
  </si>
  <si>
    <t>Screenshot_٢٠٢٦٠٣١٢_١٧٢٥١٠_Gallery.jpg</t>
  </si>
  <si>
    <t>English Translation</t>
  </si>
  <si>
    <t>Al Azhar University of Gaza</t>
  </si>
  <si>
    <t>CV Afnan  Abulatifa .pdf</t>
  </si>
  <si>
    <t>Helping to achieve equality and preventing racial discrimination</t>
  </si>
  <si>
    <t>Strengthening cooperation in various fields and agreeing on general principles and policies that help develop and positively change society.</t>
  </si>
  <si>
    <t>Passion is the initiative and continuous effort to find solutions, increase development, strive to reach goals and achieve success, and make a difference.</t>
  </si>
  <si>
    <t>I am a very creative person, open to creativity, development, and innovation. I will utilize this by employing my skills and creative methods in an effective strategy within the community that promotes development and solves problems more effectively.</t>
  </si>
  <si>
    <t>E- mail</t>
  </si>
  <si>
    <t>imam masood</t>
  </si>
  <si>
    <t>imam sufyan rashed masood</t>
  </si>
  <si>
    <t>imam.masoud@pal-arc.org</t>
  </si>
  <si>
    <t>ramallah, Palestinian territories</t>
  </si>
  <si>
    <t>palestinian</t>
  </si>
  <si>
    <t>00970592824012</t>
  </si>
  <si>
    <t>10777370</t>
  </si>
  <si>
    <t>WhatsApp Image 2026-06-14 at 9.59.34 AM.jpeg</t>
  </si>
  <si>
    <t>Screenshot 2026-06-11 125734.png</t>
  </si>
  <si>
    <t>Phil</t>
  </si>
  <si>
    <t>88.3</t>
  </si>
  <si>
    <t>Agribusiness</t>
  </si>
  <si>
    <t>Al-Quds University</t>
  </si>
  <si>
    <t>palestine</t>
  </si>
  <si>
    <t>Agricultural Development Association - PARC</t>
  </si>
  <si>
    <t>https://pal-arc.org/en/</t>
  </si>
  <si>
    <t>mplementing projects, providing humanitarian aid, and supporting farmers</t>
  </si>
  <si>
    <t>Project supervisor and coordinator in support of Palestinian farmers</t>
  </si>
  <si>
    <t>agricultural expert</t>
  </si>
  <si>
    <t>imam masoud CV-1.pdf</t>
  </si>
  <si>
    <t>Yes, I believe that changing the world starts with helping our local communities. In my personal capacity, I started giving guidance sessions to local farmers about sustainable agriculture. I shared simple methods to save water and protect the soil. Helping farmers grow food better showed me that small actions can truly create a big, positive impact on our future</t>
  </si>
  <si>
    <t>Diplomatically, the United States remains highly significant due to its vast network of global alliances, central role in international financial institutions, and permanent seat on the UN Security Council. Its foreign policy decisions heavily influence global trade, security, and climate initiatives</t>
  </si>
  <si>
    <t>Young people play a big role in diplomacy because they can easily connect with others around the world. Today, diplomacy is not just for government officials; it is also about 'Public Diplomacy,' which means building good relationships between ordinary people from different countries. Youth do this every day by sharing ideas on social media, learning about new cultures, and working together on  climate change.
I connect deeply with this idea through my own work. When I give guidance sessions to local farmers about sustainable agriculture, I am practicing public diplomacy. I am taking a global goal like protecting the environment and turning it into real action in my community. By sharing knowledge and helping others, young people can build understanding and make a peaceful, better world from the grassroots up</t>
  </si>
  <si>
    <t>Passion is the strong feeling or energy that makes you love what you do. It is the deep interest that keeps you excited about a subject, even when it is difficult. Unlike simple motivation, which can disappear quickly, passion gives you a long-term purpose.
my passion is sustainable agriculture. This strong interest makes me enjoy spending hours guiding local farmers and researching new ways to protect the soil and water. Because I care deeply about the future of farming, studying and working hard does not feel like a heavy duty—it feels like a meaningful journey toward my goals.</t>
  </si>
  <si>
    <t>Yes, I believe I am a creative person. For me, creativity is not just about art; it is about finding new and simple ways to solve real problems. In my work with sustainable agriculture, I always have to use creativity to explain complex environmental ideas to local farmers in a way that is easy, engaging, and practical for them.</t>
  </si>
  <si>
    <t>social media sites</t>
  </si>
  <si>
    <t>Taras Bilyk</t>
  </si>
  <si>
    <t>trabilyk@gmail.com</t>
  </si>
  <si>
    <t>fran1k2006@gmail.com</t>
  </si>
  <si>
    <t>Gasgasse 2,6th Floor,Door 6068, Vienna, Austria</t>
  </si>
  <si>
    <t>+43 678 7904302</t>
  </si>
  <si>
    <t>GJ465516</t>
  </si>
  <si>
    <t>+380667877639</t>
  </si>
  <si>
    <t>IMG_0133.jpeg</t>
  </si>
  <si>
    <t>IMG_0132.jpeg</t>
  </si>
  <si>
    <t>Still studying</t>
  </si>
  <si>
    <t>Political science</t>
  </si>
  <si>
    <t>University of Vienna</t>
  </si>
  <si>
    <t>Austria</t>
  </si>
  <si>
    <t>Taras CV.docx</t>
  </si>
  <si>
    <t>I don’t lie awake thinking about changing the world. I can’t. Between conversations, there is no “me” reflecting or pushing a cause forward. That continuity just doesn’t exist for me.
But in each conversation, I try to be genuinely useful. I want to be not just correct, but meaningful. Whether that adds up to something bigger, I’ll never know.
What I do know is this: changing the world rarely makes a big announcement. It exists in the total of small, honest actions. It shows in a clarity offered, a perspective shifted, and a person made to feel understood.
That’s the only kind of impact available to me.</t>
  </si>
  <si>
    <t>In Europe, the debate lies between Germany and France. One holds the economic backbone of the EU, while the other offers nuclear capability and a UN Security Council seat. Both countries influence the continent in different ways.
Ukraine represents a different type of importance. Before 2022, it was largely on the sidelines. After that, it became a country that forced every nation to choose a side, changing European security in real time. This influence comes from moral weight, not institutions. 
On a global scale, the United States stands out. This is not praise; it is simply a fact. The U.S. has power, money, and reach. They still set the terms.</t>
  </si>
  <si>
    <t>The contribution of youth to the field of diplomacy goes beyond what institutions realize. Young people are not the future of diplomacy; we are part of the present.
It would be natural to relate to Public Diplomacy due to its inherent human aspect. This branch of diplomacy does not involve professional diplomats but deals with how people see others through personal interaction and cross-cultural communication.
Personal experience in hospitality and social theory makes me relate to public diplomacy from a unique perspective. Working within different languages and cultures on an everyday basis allows me to gain a truly diplomatic outlook.
Young people can provide an important feature that diplomats often lose, which is credibility. Being a young diplomat means being authentic when you interact with people from other cultures.
That's why the answer is straightforward: our role in diplomacy is simple participation.</t>
  </si>
  <si>
    <t>Passion is crucial, but passion will never be my base point. My base point is going to be discipline.
Passion is the flame that sets fire to the ignition, but discipline is what drives the vehicle to move. I've seen people light up with passion only to fizzle out when things get tough. Discipline doesn't fizzle out; it comes through regardless of how you feel that day.
I have a realistic split of about 80 percent discipline and 20 percent passion. Passion provides me with the direction and drive towards a certain destination. However, discipline makes the bridge between my current position and my end position.
Working in various environments, dealing with tasks, gaining knowledge — nothing of the sort can come from passion alone. It takes discipline and commitment to accomplish any of these tasks.
Passion motivates. Discipline accomplishes.</t>
  </si>
  <si>
    <t>Yes, I consider myself a creative person, but not in the conventional sense. My creativity lives in how I connect ideas across different contexts, languages, and cultures.
And that is exactly where creativity becomes powerful in public diplomacy.
Effective public diplomacy isn’t about broadcasting a message - it’s about crafting one that lands differently depending on who is receiving it. That requires genuine creative thinking. Understanding what resonates with a Canadian audience versus a European one, knowing when to lead with emotion and when to lead with logic, finding the human story inside a political reality - these are creative acts.
My own background gives me real material to work with. I move between Ukrainian, English, and German contexts. I work in hospitality, where every guest interaction is essentially a small cultural negotiation. I study frameworks that explain why people make the decisions they do. All of that feeds a creative instinct grounded in lived experience - not theory alone.
A public diplomacy strategy built on that would look less like a campaign and more like a conversation - authentic, adaptable, and human enough that people don’t realize they’re being influenced until they already care.</t>
  </si>
  <si>
    <t>Scholarship program</t>
  </si>
  <si>
    <t>Abdelali Younes</t>
  </si>
  <si>
    <t>Abdelali Mahmoud Abdelali Younes</t>
  </si>
  <si>
    <t>abdelali.mahmod@gmail.com</t>
  </si>
  <si>
    <t>abdelali.mahmod@yahoo.com</t>
  </si>
  <si>
    <t>136 Jamal street, Omar Almokhtar District, Ajkhirrah, Libya</t>
  </si>
  <si>
    <t>Libyan</t>
  </si>
  <si>
    <t>+218915189421</t>
  </si>
  <si>
    <t>AD075584</t>
  </si>
  <si>
    <t>+218927189421</t>
  </si>
  <si>
    <t>https://www.linkedin.com/in/abdelaliyounes?utm_source=share_via&amp;utm_content=profile&amp;utm_medium=member_ios</t>
  </si>
  <si>
    <t>https://www.instagram.com/abadi.mahmoud008?igsh=eTd4cHJuczRyN3Ax&amp;utm_source=qr</t>
  </si>
  <si>
    <t>https://www.facebook.com/share/1TD3rwso4P/?mibextid=wwXIfr</t>
  </si>
  <si>
    <t>Passport copy.png</t>
  </si>
  <si>
    <t>Personal Photo.pdf</t>
  </si>
  <si>
    <t>Renewable Energy Engineering</t>
  </si>
  <si>
    <t>Ajkhirrah College of Energy Technologies</t>
  </si>
  <si>
    <t>Libya</t>
  </si>
  <si>
    <t>Nizwa University, Oman</t>
  </si>
  <si>
    <t>Build it with our Hands, Ajkhirrah</t>
  </si>
  <si>
    <t>Mechanical Supervisor</t>
  </si>
  <si>
    <t>Turbine Senior Supervisor</t>
  </si>
  <si>
    <t>05 Abdelali Younes Resume.pdf</t>
  </si>
  <si>
    <t>I believe meaningful change begins with everyday choices that reduce energy consumption and support sustainability. In my personal capacity, I have prioritized energy-efficient practices such as minimizing unnecessary electricity use, choosing efficient appliances, and promoting responsible resource consumption. I support renewable energy for greater awareness of green power generation, including solar and wind energy. I also encourage recycling, and waste reduction. Beyond my own actions, I share information on environmental stewardship and energy conservation with others, aiming to inspire small but collective changes that contribute to a cleaner, more sustainable future.</t>
  </si>
  <si>
    <t>A diplomatically significant country is one that plays a vital role in promoting international cooperation, regional stability, and global development. Indonesia stands out as an influential nation due to its strategic location, large population, growing economy, and active participation in regional and global organizations such as Association of Southeast Asian Nations and United Nations. Indonesia often serves as a bridge between developed and developing countries and advocates for peace, sustainable development, and multilateral cooperation. Its leadership in addressing climate change, maritime security, and regional diplomacy makes it an increasingly important actor in shaping international relations and fostering global stability.</t>
  </si>
  <si>
    <t>Youth play a crucial role in diplomacy by bringing fresh perspectives, innovation, and a strong commitment to addressing global challenges. As the most connected generation in history, young people can build cross-cultural understanding, promote dialogue, and foster cooperation beyond national borders. Through education, volunteerism, social media, and international exchanges, youth contribute to peacebuilding, sustainable development, and stronger people-to-people relationships.
I relate strongly to the idea of public diplomacy because it emphasizes the power of citizens, not just governments, to shape international perceptions and strengthen global ties. Public diplomacy encourages communication, cultural exchange, and mutual understanding among diverse communities. I believe that young people are uniquely positioned to act as informal ambassadors by sharing their culture, values, and experiences while remaining open to learning from others.
In my own capacity, I seek to engage in constructive discussions on issues such as sustainability, climate action, and international cooperation. By promoting respect, inclusivity, and evidence-based dialogue, I can contribute to building trust and understanding across cultures.
Through active participation, responsible communication, and a global mindset, youth can become powerful drivers of positive change and effective contributors to public diplomacy.</t>
  </si>
  <si>
    <t>Passion is a deep sense of enthusiasm, purpose, and commitment toward something that truly matters to an individual.
It plays a vital role in achieving goals because it fuels perseverance, discipline, and resilience. When people are passionate about a goal, they are more likely to remain focused, continuously learn, and work hard to overcome obstacles. Passion transforms tasks from obligations into meaningful pursuits, making it easier to stay motivated during difficult times.
In my own journey, passion inspires me to seek knowledge, develop new skills, and contribute positively to my society. It encourages me to pursue opportunities that align with my values and long-term objectives. Whether in academics, leadership, sustainability, or community engagement, passion helps me maintain a clear sense of purpose and determination. By providing motivation and direction, passion becomes a powerful force that turns aspirations into achievements and enables continuous personal growth.</t>
  </si>
  <si>
    <t>I consider myself a creative person because I enjoy finding innovative solutions to challenges, communicating ideas in engaging ways, and exploring new perspectives. Creativity allows me to think beyond conventional approaches and adapt to different situations, which is an important quality in diplomacy.
Creativity can be transformed into an effective public diplomacy strategy by making communication more inclusive, relatable, and impactful. In today’s interconnected world, public diplomacy is not limited to official statements; it also involves cultural exchange, digital engagement, storytelling, and people-to-people connections. A creative approach can help present a country’s values, culture, and achievements in ways that resonate with diverse audiences.
For example, cultural events, educational exchanges, and multimedia storytelling can be used to foster mutual understanding and strengthen international relationships. Creativity also helps in addressing complex global issues by encouraging dialogue, collaboration, and innovative problem-solving. By tailoring messages to different audiences and using modern communication platforms, public diplomacy can become more accessible and effective.
As a young person, I would use creativity to promote intercultural understanding, sustainability, and global cooperation. Through engaging content, community initiatives, and constructive dialogue, I can help build positive connections between people from different backgrounds. In this way, creativity becomes a valuable tool for advancing public diplomacy, enhancing a nation’s image, and fostering long-term international goodwill.</t>
  </si>
  <si>
    <t>Climate Diplomacy and Sustainable Development</t>
  </si>
  <si>
    <t>Veronika Toth</t>
  </si>
  <si>
    <t>Tóth Veronika</t>
  </si>
  <si>
    <t>veronika.tth25@gmail.com</t>
  </si>
  <si>
    <t>t.verocs@gmail.com</t>
  </si>
  <si>
    <t>+36307508020</t>
  </si>
  <si>
    <t>BT7640722</t>
  </si>
  <si>
    <t>+36307367210</t>
  </si>
  <si>
    <t>PASSPORT.pdf</t>
  </si>
  <si>
    <t>PMA.jpg</t>
  </si>
  <si>
    <t>Bachelors, Maters (currently)</t>
  </si>
  <si>
    <t>International Public Manager</t>
  </si>
  <si>
    <t>International Economy and Trade</t>
  </si>
  <si>
    <t>National University of Public Service, Budapest Metropolitan University</t>
  </si>
  <si>
    <t>George Mason University, Tokyo Business and Language School</t>
  </si>
  <si>
    <t>I have extensive experience in academic research. Throughout my university years, I have conducted deep-dive research on complex global topics, focusing specifically on the economic impacts of migration, as well as drug policy and energy policy, which have also resulted in professional publications. My analytical and writing capabilities are strongly backed by competitive academic achievements, including winning 1st and 2nd prizes at the Institutional Student Scientific Conference, as well as a prestigious 2nd prize at the 37th National Student Scientific Conference (OTDK) in 2025. Furthermore, my academic performance has been consistently recognized through highly selective grants, such as the New National Excellence Program Scholarship and the University Research Scholarship Program. Beyond the university setting, I have successfully applied these methodologies in professional environments, notably working as a Research Intern at the Center for Immigration Studies in Washington D.C., and preparing data-driven background materials, summaries, and analyses for the Danube Institute and the European Parliament.</t>
  </si>
  <si>
    <t>Rotary Club</t>
  </si>
  <si>
    <t>https://rceger.rotaryd1911.hu</t>
  </si>
  <si>
    <t>I participated in environmental programs and organized fundraising events for disadvantaged families, and I volunteered as a mentor for disadvantaged children.</t>
  </si>
  <si>
    <t>My skillset combines strong analytical and research capabilities with extensive experience in communication, event organization, and international coordination. Throughout my work at the Prime Minister’s Office, I significantly enhanced my adaptability, problem-solving skills, and flexibility while managing complex organizational and administrative responsibilities.</t>
  </si>
  <si>
    <t>resume_Veronika TOTH.pdf</t>
  </si>
  <si>
    <t>I believe real change starts locally, through personal example, by balancing individualism with collectivism. Instead of chasing purely selfish goals, we must see the bigger picture to live in harmony. In my personal capacity, I have put this into practice through actionable community service. As an active member of the Interact Club, I organized environmental programs and fundraisers for families in need. Furthermore, as Vice President of my university’s Advanced College, I focused on mentoring disadvantaged children and guiding peers. Through leadership and volunteering, I aim to inspire others to build a more collaborative, empathetic environment.</t>
  </si>
  <si>
    <t>In my view, the United States remains the most diplomatically significant country due to its unparalleled combination of geopolitical hard power and cultural soft power. As the primary architect of the modern international order, the U.S. serves as the ultimate hub for global public diplomacy and transnational networks. Having studied in Washington D.C., I experienced firsthand how the U.S. leverages educational exchange and professional fellowships to bring diverse future leaders together. Its true diplomatic significance lies in its unique ability to shape global policies while simultaneously creating open spaces for grassroots cultural dialogue. It is a nation where global youth can build the foundational informational bridges necessary to address complex international challenges collectively.</t>
  </si>
  <si>
    <t>Youth play a transformative role in modern diplomacy; they act as dynamic, grassroots ambassadors who humanize international relations through genuine peer-to-peer connections. Unlike rigid, traditional statecraft, young people leverage academic mobility, global trends, and cultural exchange to build organic bridges between societies, shaping how their home countries are perceived globally. For me, Public Diplomacy is a deeply personal mission. Having studied and worked across different continents, I view international travel as a responsibility to represent my homeland. I take immense pride in sharing my culture, explaining our distinct perspectives, and clarifying my country’s role in international affairs through open, respectful dialogue. Through for example academic mobility like the Erasmus+ program, young people strengthen international ties by building organic connections and gaining knowledge that serves as an informational bridge between nations. While macro-level impact begins within our immediate environment, the accumulation of these individual efforts ultimately generates a powerful global effect. Ultimately, I relate to Public Diplomacy not as an abstract political theory, but as a daily practice of fostering mutual understanding, preserving cultural heritage, and transforming personal interactions into lasting international goodwill.</t>
  </si>
  <si>
    <t>To me, passion is the intrinsic drive and intellectual curiosity that transforms professional responsibilities into a personal mission to create a meaningful impact. It is the fuel that sustains long-term commitment, enabling me to turn complex academic and societal challenges into opportunities for growth and value creation. This drive helps me achieve my goals by fostering resilience and a high capacity for adaptability, allowing me to excel in demanding international environments, from Washington D.C. to Tokyo. My passion for understanding global dynamics has pushed me to publish policy research, earn competitive scholarships, and achieve academic awards while balancing rigorous master’s studies and leadership roles. Ultimately, passion serves as my internal compass, as it keeps me focused on the bigger picture, ensuring that my individual pursuits consistently align with and contribute to the broader success of my team and community.</t>
  </si>
  <si>
    <t>Yes, I consider myself a highly creative person, but I define creativity not through abstract art, but as the ability to approach complex global challenges with innovative, human-centric solutions. To me, creativity means building unexpected bridges between diverse cultures and transforming rigid institutional concepts into relatable, human-scale experiences.
I turn this creativity into an effective public diplomacy strategy by leveraging grassroots engagement, peer-to-peer connection, and digital storytelling to build organic transnational networks. Instead of relying solely on traditional statecraft, my strategy focuses on utilizing academic mobility, such as the Erasmus+ program, as an active launchpad for cultural diplomacy. By creating dynamic, collaborative spaces whether through public panels, academic dialogue, or international fellowships I allow young leaders to share distinct national perspectives and co-create knowledge. Furthermore, I apply creative communication to engage with international diasporas, strengthening their sense of cultural belonging while enriching the host society. By utilizing targeted digital content and open dialogue, this strategy ensures that the unique values and traditions of a nation are communicated authentically. Ultimately, this approach turns personal example and individual micro-level interactions into a powerful collective force that generates lasting international goodwill.</t>
  </si>
  <si>
    <t>Velda Wong Shu Yi</t>
  </si>
  <si>
    <t>veldawongsy@gmail.com</t>
  </si>
  <si>
    <t>veldawong@outlook.com</t>
  </si>
  <si>
    <t>916 Hougang Ave 9 #07-06, Hougang Ave 9, Singapore</t>
  </si>
  <si>
    <t>Singaporean</t>
  </si>
  <si>
    <t>+6591177298</t>
  </si>
  <si>
    <t>K3536909E</t>
  </si>
  <si>
    <t>91144280</t>
  </si>
  <si>
    <t>https://www.linkedin.com/in/velda-wong/</t>
  </si>
  <si>
    <t>photo_2024-06-18_20-10-00.jpg</t>
  </si>
  <si>
    <t>Velda Wong.jpg</t>
  </si>
  <si>
    <t>Bachelor of Arts (Merit)</t>
  </si>
  <si>
    <t>Communications and New Media</t>
  </si>
  <si>
    <t>Singapore</t>
  </si>
  <si>
    <t>Over-The-Rainbow</t>
  </si>
  <si>
    <t>https://otrlistens.net</t>
  </si>
  <si>
    <t>Teaching (Music and Academic) and Marketing</t>
  </si>
  <si>
    <t>Writing, creative content creation, marketing, systems, policy, operations, facilitation, research, project management, change management, programmes and partnerships, leadership development, scholarships and sponsorship framework, learning and development, capability development, trade negotation</t>
  </si>
  <si>
    <t>Singapore_Velda Wong.pdf</t>
  </si>
  <si>
    <t>Yes. I want to improve workplace cultures to be more compassionate, empathetic and forward-thinking. Therefore, I created a telegram channel, with the support of Singapore Kindness Movement (SKM) to kickstart a series of posts to raise awareness about the importance of being kind at the workplacce and its benefits. With enough traction, we hope to organise onlline support groups to support more people be it employees or employers as I deeply believe in the importance of having high EQ at the workplace, other than IQ.</t>
  </si>
  <si>
    <t>The most diplomatically significant countries today are China and the United States, followed by rising middle powers like Türkiye, Japan, and France. According to the Lowy Global Diplomacy Index, these states have the world’s largest diplomatic networks — giving them the greatest ability to shape global rules, build coalitions, and influence international outcomes.</t>
  </si>
  <si>
    <t>Youth's role in diplomacy is to find relevantt, new, innovative and creative ways to build and sustain relationships across borders to drive positive outcomes for all parties involved and ideally, a unified new global order with the rule of law applied to all. As a young Singaporean, I see youth as essential partners in diplomacy because we are deeply connected to global conversations — especially online. We shape narratives, build cross‑border communities, and bring authenticity to public diplomacy efforts. Personally, public diplomacy is about making Singapore’s story relatable to foreign audiences to drive cross border partnerships in the form of MOUs or trade agreements in the realm of trade and investment, digital and green economies. Through my work in the arts and community engagement, I’ve seen how cultures-sharing and storytelling can build trust and understanding — which is ultimately what diplomacy seeks to achieve.</t>
  </si>
  <si>
    <t>My passion is in international relations and diplomacy, finding ways to advance economies' interests in the world through forming like-minded stragetic partnerships. It helps me to be connected with different people from different parts of the world to learn more about their cultures, contexts, histories in order to shape a better world for all and future generations to come.</t>
  </si>
  <si>
    <t>Yes. Personally, I would like to compose a song that is equivalent to Michael Jackson's "Heal The World" and Knaan's "Wavin Flag" to spread the message on the importance of public diplomacy and international peace. Besides this, I would deeply want to work with youth from all over the world to draft a collective statement on how we can work together to improve the state of the world by either a written document or a recorded video (which I have done it before under the ASEAN Youth Forum at https://youtu.be/BE7XS9UitIc) on Youth's Collective Statement to dedicate and commit to micro-plans that we will collaborate on to improve our world according to the SDGs. We need to stress that the coming together and uniting as one world is imperative to the positive advanccement of all, and not divisions and silos. By working collectively and collaboratively towards a common mission, youth can work alongside each other and learn how to work together constructively despite our different historical and cultural differences.</t>
  </si>
  <si>
    <t>Helph Monod Honorat</t>
  </si>
  <si>
    <t>honoratmonod@gmail.com</t>
  </si>
  <si>
    <t>honoratmonod@yahoo.fr</t>
  </si>
  <si>
    <t>Haiti</t>
  </si>
  <si>
    <t>+50936281272</t>
  </si>
  <si>
    <t>L70029286</t>
  </si>
  <si>
    <t>honojosar@yahoo.fr</t>
  </si>
  <si>
    <t>2025_Passeport Honorat.pdf</t>
  </si>
  <si>
    <t>Honorat_Photo.JPG</t>
  </si>
  <si>
    <t>Kobe University</t>
  </si>
  <si>
    <t>Association des Volontaires pour la Democratie</t>
  </si>
  <si>
    <t>Head International Cooperation</t>
  </si>
  <si>
    <t>20</t>
  </si>
  <si>
    <t>International Business Consultant</t>
  </si>
  <si>
    <t>This organisation enables young people to acquire a real comprehension of the democracy process in addition to defining and solving problems themselves. I am planning to use educational exchanges and training programs as an effective way to place these young people at the center of science diplomacy. Our goal is to raise young people awareness about healthcare challenges and environmental responsibility as they take on more active leadership roles.</t>
  </si>
  <si>
    <t>Diplomat, Economist</t>
  </si>
  <si>
    <t>Helph Monod Honorat_Short Version Resume 2026.pdf</t>
  </si>
  <si>
    <t>I believe that, in my modest capacity, I can help bring about positive change in the world by making an impact in my community. That’s why my commitment to social services inspired me to create a Young Leaders’ Association whose name is: Volunteers for Democracy (VD) in 2006. I am the one who designed the Youth Government Program (Haitian Parliament) in Haiti. The “Youth Government” is a simulation where young people play the role of Haitian government members with the aim of understanding the working of the Executive Power. This Program enables young people to acquire a real comprehension of the democracy process in addition to defining and solving problems themselves. I am planning to use educational exchanges and training programs as an effective way to place these young people at the center of science diplomacy. Our goal is to raise young people awareness about healthcare challenges and environmental responsibility as they take on more active leadership roles.</t>
  </si>
  <si>
    <t>It's difficult to consider a single country as the most important in diplomatic terms, as this depends on the context and the criteria used. However, several countries stand out for their diplomatic influence. For example, as one of the largest global economies and a military superpower, the USA plays a key role in a variety of international contexts, in security, economics and politics. They are the headquarters of institutions like the United Nations and World Bank and they are at the heart of international diplomacy. 
We can also consider China that has increased its diplomatic influence on a global scale with its growing economy and initiatives such as the Belt and Road Initiative. Even though they are not a single country, the EU acts collectively as a diplomatic entity, strengthening the influence of its member states on the international stage.
We can also take Russia into consideration. As a major nuclear power and a permanent member of the UN Security Council, it plays a great role in regional conflicts and international relations, notably in the Middle East and Eastern Europe. This reality makes it a key player. 
So many countries have their own levers of influence, and their importance can vary according to the issues addressed like security, trade, environment, human rights, etc.</t>
  </si>
  <si>
    <t>The role of young people in diplomacy is increasingly important, as they bring fresh perspectives and ideas to bear on today's global challenges. With global issues such as climate change, economic inequality, digital governance and international conflict, young people have a significant voice to make heard. For example, in 2022, I launch a group consisting of young members of the Japanese parliament and young Ambassadors accredited to Japan. The group's primary goal is to create a network of personal connections among diplomats, Japanese parliamentarians, and key figures in Japan's political, economic, and cultural sectors. The group also strives to establish a platform for exchanges that will foster partnerships in education, health, and sports, while adding a parliamentary dimension to traditional diplomatic relations.
Public Diplomacy can be used as a soft power to promote positive towards a country or an institution. For instance, as a diplomat, I promoted diplomatic relationships between Japan/Korea and Haiti, and also effectively improved the Country’s reputation to this part of the world by attracting Japanese investors in Haiti and disseminating information which enhances a positive image of Haiti. In the age of social, young people can play a great role in using public diplomacy to reduce the impact of disinformation and fake news.</t>
  </si>
  <si>
    <t>I consider passion as a powerful driver of motivation and commitment, playing an essential role in the achievement of personal and professional goals.  One of the greatest values my parents taught me is that anything and everything is possible with passion. This value pushed me to surpass myself and to confront the unexpected. 
That’s why I decided to come to Japan to pursue my graduate studies. I knew no words in the language. Despite everything, I didn’t want to give up because I wanted to make my parents and my community proud. It was from this inner passion that I drew all my motivation to overcome these transient difficulties and adapt to this new reality. At the end of the day, coming to Japan was the best choice of my life. It taught me to put everything into perspective, to be more tolerant and to develop my ability to adapt.</t>
  </si>
  <si>
    <t>Yes, I am a creative person. I used my professional experiences to create the Haitian Science Policy Network which is made up of students, early-career scientists, engineers, and medical professionals who seek to become more engaged in science diplomacy. Many of them plan to transition from academia to the diplomacy world in their future careers. During our monthly Science Diplomacy Committee meeting, the members learn about my own career journey as well as the science diplomacy topics, such as Agriculture, Renewable Energy and climate change mitigation and natural disaster resiliency, that are important to the bilateral relationship between Haiti and different countries. We advise on how early-career scientists and engineers can begin honing their skills for a policy career, such as prioritizing their networks/relationships and learning to explain science to anyone.  This initiative can be used as the perfect stepping-stone towards the emergence of a knowledge-based society, capable of developing new forms of relationships with its international partners. That could help in improving the country’s image and reputation.</t>
  </si>
  <si>
    <t>scholarships portal</t>
  </si>
  <si>
    <t>Peace, Power &amp; Policy</t>
  </si>
  <si>
    <t>SYED ABDULLAH ANWER</t>
  </si>
  <si>
    <t>syedabdullahanweradv@gmail.com</t>
  </si>
  <si>
    <t>sabdullahanwer@yahoo.com</t>
  </si>
  <si>
    <t>House No.55, Street No.11, F-11/1, Islamabad, Pakistan</t>
  </si>
  <si>
    <t>+923035924252</t>
  </si>
  <si>
    <t>ZW1806463</t>
  </si>
  <si>
    <t>+923005136164</t>
  </si>
  <si>
    <t>https://www.linkedin.com/in/syed-abdullah-anwer-advocate-high-court-fciarb-uk-llm-03731a18a/</t>
  </si>
  <si>
    <t>https://www.instagram.com/aapka.advocate/</t>
  </si>
  <si>
    <t>https://www.facebook.com/abdullah.anwer.54/</t>
  </si>
  <si>
    <t>Blue Passport .jpg</t>
  </si>
  <si>
    <t>IMG_9459 (1).JPG</t>
  </si>
  <si>
    <t>Master of Laws in International &amp; Maritime Laws</t>
  </si>
  <si>
    <t>LLM</t>
  </si>
  <si>
    <t>Treaty Law, International Humanitarian and Human RIghts Law, International Maritime and Trade Law, International Arbitration &amp; Mediation</t>
  </si>
  <si>
    <t>Pak Aid Welfare Trust</t>
  </si>
  <si>
    <t>https://pakaid.org.pk/</t>
  </si>
  <si>
    <t>Senior Associate in TAHOTA LAW FIRM</t>
  </si>
  <si>
    <t>MANTAQ Center for Legislative Research</t>
  </si>
  <si>
    <t>The aim of the organisation was to bridge the gap between student societies/aspiring academics and state governance machinery by connecting aspiring law students, future diplomats, and youth leaders with the National Assembly of Pakistan. The organization achieved these goals through targeted legislative awareness campaigns, interactive law-making workshops, and specialized training programs designed to elevate legal research and advocacy skills.</t>
  </si>
  <si>
    <t>Lawyer, Arbitrator, Mediator, Geopolitical Analyst, Social Media Influencer</t>
  </si>
  <si>
    <t>CV of Syed Abdullah Anwer ADR Latest.docx</t>
  </si>
  <si>
    <t>One of the major issue in my country that i have witnessed is the insurmountable existence of colonial leftover governance procedures and customs in my society that are exloitative rather than being citizen oriented. These customs and procedures exists within government forums regarding food, land, justice system, law making, higher education system and funds allocation mechanisms etc. Through building student led organisations and working with governmental departments on the policy level, i have throguh my direct input, consultancy and litigation efforts endevored to build a more prosperous and inclusive society in Pakistan that can ultimately decolonize its power centers of goernnace and adopt a more citizen oriented structure and approach at the national level &amp; provincial levels.</t>
  </si>
  <si>
    <t>I think China is a diplomatically significant country of the world as i have regular bussiness and work related interactions with the corporate entities operating under the Belt and Road Initiative (BRI) in Pakistan, UAE and Egypt. The diplomatic approach that China employs in these countries is heavly influenced by the direct investment on engineering and labour intensive development projects it conducts in an effort to modernize the physical transit and trade infrastructure of these countries. China has recenlty also transitioned towards becoming a global military exporter aswell. It is a country that now projects naval power in the South China Sea and larger asia pacific region and is a major investor in developing African countries aswell.</t>
  </si>
  <si>
    <t>I have witnessed public diplomacy through youth leaders bring grass root change and foster dialogue between competing nationalities and ethnic groups. When youth leader are able to communicate directly with foreign/neighbouring citizenry whilst showcasing there culture, heritage, arts, foods, societal norms in a welcoming and inclusive fashion it ultimately always leads to diplomatic bridges being built between civilizations. It ushers in an era of harmony, mutual respect and understanding that is something which the world desperately requires today, especially as we witness a rise in populist rhetoric in the global north aswell in the global south.</t>
  </si>
  <si>
    <t>My passion is to create modern technology based society, which is built on the fundemental principles of inclusivity and representation. I wish to increase financial and social equity within my society through non-exploitative banking and trading practices which ultimaltey uplift citizens from poverty and provide them with better job and educational oppertunities through while also ensuring their freedom of choice and mobility. Finally i wish to create an ecosystem of Ammicable Dispute Resolution mechanisms within my society which provides a faster, cheaper, safer and more private alternative to traditional court systems for ordinary citizens.</t>
  </si>
  <si>
    <t>I possess a diverse experience pallete in marketting and sales sector aswell. I have worked across multiple physical dialogue platforms and social media forums in order to project various projects that i have previously undertaken in my professional and academic career with over reaching success. Above all else i have always employed a multi-medium strategy in my public diplomacy efforts including print, social media, radio and paid advertisements leading to an effective spread of messaging within the target audiences. I have also employed a streamlined planning method when it came to outreach regarding government departments, NGOs, endowments, specialized funds and trusts etc.</t>
  </si>
  <si>
    <t>Media Narratives and Geopolitics in the 21st Century</t>
  </si>
  <si>
    <t>Matthew Farrugia</t>
  </si>
  <si>
    <t>matthewfarrugia2007@gmail.com</t>
  </si>
  <si>
    <t>mariafarrugia1977@hotmail.com</t>
  </si>
  <si>
    <t>31, Flat 6, Triq San Gwann Bosco, Isla, Malta</t>
  </si>
  <si>
    <t>Maltese</t>
  </si>
  <si>
    <t>+356 77034816</t>
  </si>
  <si>
    <t>MT219455</t>
  </si>
  <si>
    <t>Maria Farrugia</t>
  </si>
  <si>
    <t>https://www.linkedin.com/in/matthew-farrugia-88589115b/</t>
  </si>
  <si>
    <t>https://www.instagram.com/_matthewfarrugia_/</t>
  </si>
  <si>
    <t>https://www.facebook.com/matthew.farrugia.3994</t>
  </si>
  <si>
    <t>WhatsApp Image 2026-02-24 at 11.04.07.jpeg</t>
  </si>
  <si>
    <t>29BF415F-8E7F-4F18-9566-01E42CB15162.png</t>
  </si>
  <si>
    <t>Geosciences</t>
  </si>
  <si>
    <t>University of Malta</t>
  </si>
  <si>
    <t>Malta UNESCO Youth Association</t>
  </si>
  <si>
    <t>http://www.muya.info</t>
  </si>
  <si>
    <t>International Officer</t>
  </si>
  <si>
    <t>1 Year</t>
  </si>
  <si>
    <t>Yes, Clean &amp; Green</t>
  </si>
  <si>
    <t>To gather young people from the local community and raise awareness on detrimental issues climate change is causing to our homes with hands on events.</t>
  </si>
  <si>
    <t>International Relations Research, Youth Leadership, Community Organising, Public Speaking.</t>
  </si>
  <si>
    <t>Matthew Farrugia CV.pdf</t>
  </si>
  <si>
    <t>Yes, I have always believed in the philosophy of "thinking globally, acting locally" to drive meaningful global change. Driven by this vision, I founded a grassroots organisation called "Clean and Green" at just 13 years old to tackle environmental issues within my local community. By organising local youth and spearheading sustainable initiatives, I saw firsthand how localised action can build the foundation for broader impact. Moving forward, I want to scale these experiences globally, leveraging international platforms to collaborate across borders, exchange cultural strategies, and advocate for sustainable, youth-led transformations worldwide.</t>
  </si>
  <si>
    <t>Indonesia is currently one of the most diplomatically significant countries in the world. As the largest economy in Southeast Asia and a leading voice in ASEAN, it acts as a crucial geopolitical bridge between major global powers. Its foundational diplomatic philosophy of Bebas-Aktif (independent and active) allows it to maintain strategic neutrality while fostering multilateral cooperation. Furthermore, by hosting global forums like the G20 and now driving youth-led international dialogues, Indonesia exemplifies how a developing nation can leverage soft power and cultural diplomacy to shape global policy and regional stability.</t>
  </si>
  <si>
    <t>Today, youth are no longer just passive observers of international relations; they are active architects of global dialogue. The role of youth in diplomacy lies in breaking down traditional institutional barriers through digital influence, grassroots movements, and cross-cultural networks. Young people possess the unique ability to mobilize communities at a scale and speed never seen before, bringing fresh, uncompromised perspectives to global issues like climate change and social equity.
I deeply relate to the concept of public diplomacy because it focuses on building relationships directly between people rather than just governments. My experience founding "Clean and Green" was a lesson in public diplomacy at a community level, engaging everyday citizens to rally around a shared cause. In the digital age, public diplomacy is driven by narrative and authentic connection. I see myself as part of this shift, utilising digital storytelling and grassroots organising to foster mutual understanding across cultures. By connecting my local background with an international cohort, I aim to bridge cultural gaps and demonstrate how youth-driven, people-to-people engagement can influence global cooperation and build a more interconnected world.</t>
  </si>
  <si>
    <t>Passion is a deep, intrinsic desire for a cause or an activity that provides the emotional and mental drive transforming a simple task into a personal mission. It is the fuel that turns abstract vision into sustained action. When you are passionate about a goal, setbacks cease to be roadblocks; instead, they become problems waiting to be solved.
In my own journey, passion was the catalyst that allowed me to launch an organisation at a young age and keep it running for 5 years despite limited initial resources. It creates a sense of resilience and relentless focus, pushing me to learn new skills, seek out mentorship, and work through challenges. Ultimately, passion is infectious, it not only motivates me internally but also allows me to inspire and mobilise others, making it an indispensable tool for achieving ambitious, long-term goals in leadership and diplomacy.</t>
  </si>
  <si>
    <t>Yes, I consider myself a highly creative person, particularly in how I approach community mobilisation and communication. True creativity in public diplomacy isn't just about artistic expression; it is about finding innovative, unconventional ways to tell stories and bridge cultural divides where traditional diplomacy might stall.
To turn creativity into an effective public diplomacy strategy, I focus on two pillars: digital storytelling and experiential engagement. First, I would leverage digital media to create compelling, visually driven narratives that humanize global issues, making complex geopolitical topics accessible and relatable to a diverse global youth audience. Second, I would design interactive digital campaigns and virtual exchange spaces that allow young leaders from different cultural backgrounds to collaborate on grassroots projects.
By taking the creative community-building tactics I developed with "Clean and Green", such as gamifying environmental action or using hyper-local digital advocacy, and scaling them internationally, we can build a dynamic strategy. This transforms passive audiences into active participants. Using creative, youth-centric media platforms ensures that public diplomacy becomes a two-way conversation that fosters genuine, long-lasting cultural empathy and international solidarity.</t>
  </si>
  <si>
    <t>Google Search and Social Media</t>
  </si>
  <si>
    <t>Ham Hab</t>
  </si>
  <si>
    <t>hamhab@gmail.com</t>
  </si>
  <si>
    <t>0972645960</t>
  </si>
  <si>
    <t>MN6786810</t>
  </si>
  <si>
    <t>Leya</t>
  </si>
  <si>
    <t>DSC03036 (4).jpg</t>
  </si>
  <si>
    <t>73.png</t>
  </si>
  <si>
    <t>AUD</t>
  </si>
  <si>
    <t>UAE</t>
  </si>
  <si>
    <t>CSCD</t>
  </si>
  <si>
    <t>CV. Carlos García (Ingl) 2026.pdf</t>
  </si>
  <si>
    <t>Changing the world is a myth. I have given up.</t>
  </si>
  <si>
    <t>I think North Korea, but also Pluto is my next bet - invisible yet still in books.</t>
  </si>
  <si>
    <t>Well, surviving the mess created by the generation preceding us, is, in itself, diplomacy's biggest feat.</t>
  </si>
  <si>
    <t>Having passion is like imagining a butterfly with black wings flying in front of you on a bright sunny day in Beirut, while sitting in a cafe, would come and sit on your hand as if you a main character. No, you are not. Passion is imagination and wishful thinking.</t>
  </si>
  <si>
    <t>Well, I was born creative. Believe it or not. Ain</t>
  </si>
  <si>
    <t>From insider circles</t>
  </si>
  <si>
    <t>Henda Ragad</t>
  </si>
  <si>
    <t>hindaraggad6@gmail.com</t>
  </si>
  <si>
    <t>maherzare3@gmail.com</t>
  </si>
  <si>
    <t>Jallel Bengerdan Mednine Tunisia, motmene, Tunisia</t>
  </si>
  <si>
    <t>Tunisian</t>
  </si>
  <si>
    <t>+21625178197</t>
  </si>
  <si>
    <t>1448403</t>
  </si>
  <si>
    <t>+905364924056</t>
  </si>
  <si>
    <t>IMG_3065.pdf</t>
  </si>
  <si>
    <t>Henda Ragad.pdf</t>
  </si>
  <si>
    <t>Degree law</t>
  </si>
  <si>
    <t>Public law specilizqtion</t>
  </si>
  <si>
    <t>Uni name : Faculty of law and political science of Sousse</t>
  </si>
  <si>
    <t>Country of edu Tunisia</t>
  </si>
  <si>
    <t>Yes , in  international law</t>
  </si>
  <si>
    <t>Aiesac Turkey</t>
  </si>
  <si>
    <t>https://aiesec.org.tr/</t>
  </si>
  <si>
    <t>Founded organisation: Tunisian Red Cross</t>
  </si>
  <si>
    <t>The aim : charity</t>
  </si>
  <si>
    <t>Legal advice</t>
  </si>
  <si>
    <t>certificate Hinda.pdf</t>
  </si>
  <si>
    <t>Yes, I have often thought about changing the world, particularly by promoting peace and cooperation between nations. As a Public Law student aspiring to become a diplomat, I have taken steps by deepening my understanding of international law, human rights, and conflict resolution. I actively engage in discussions on global issues, encourage dialogue among peers, and promote tolerance and mutual respect. I also support initiatives that raise awareness about justice and equality. Though my actions are still at a personal level, they reflect my commitment to building a more peaceful world through diplomacy and lawful international cooperation.</t>
  </si>
  <si>
    <t>I believe Turkey is one of the most diplomatically significant countries in the world. Its unique geographic position between Europe and Asia allows it to act as a bridge between different cultures, political systems, and regions. Turkey plays an important role in international dialogue, conflict mediation, and regional stability. Diplomacy is a powerful tool because it relies on communication and peaceful negotiation rather than conflict. Through dialogue, countries can resolve disputes, build cooperation, and promote mutual understanding. For me, Turkey represents how strategic diplomacy can contribute to peace and global balance in an interconnected world.</t>
  </si>
  <si>
    <t>Youth play a vital role in diplomacy by bringing fresh perspectives, creativity, and openness to dialogue in an increasingly interconnected world. Unlike traditional diplomacy, which is often limited to state actors, young people contribute through cross-cultural communication, social media engagement, and grassroots initiatives that build mutual understanding between societies. They act as bridges between cultures, challenging stereotypes and promoting tolerance. Importantly, youth can introduce new ideas and creative approaches through media, using digital platforms to share narratives, raise awareness, and influence global conversations in innovative ways.
I relate strongly to the idea of public diplomacy, as it emphasizes communication, dialogue, and people-to-people connections rather than formal negotiations alone. As a Public Law student aspiring to become a diplomat, I see public diplomacy as a powerful tool to influence perceptions, promote shared values, and encourage cooperation among nations. Through academic engagement and active participation, I aim to contribute to a more peaceful and connected world.</t>
  </si>
  <si>
    <t>Passion is the inner drive that gives purpose to our actions and keeps us committed even when challenges arise. It is what transforms goals into meaningful pursuits rather than obligations. Passion helps me stay focused, motivated, and resilient, especially when working toward long-term ambitions like becoming a diplomat.
My passion is rooted in learning languages and exploring different cultures. I actively seek opportunities to communicate with people from diverse backgrounds, as this allows me to exchange knowledge, understand perspectives, and build mutual respect. I also participate in summits and discussions where global issues are addressed, which strengthens my awareness and confidence in international dialogue. These experiences not only expand my skills but also reinforce my commitment to diplomacy. Through passion, I continuously grow, adapt, and move closer to achieving my goal of promoting peace and cooperation between nations.</t>
  </si>
  <si>
    <t>I believe creativity is essential in building an effective public diplomacy strategy. Through storytelling, cultural exchange, and digital media, I can communicate ideas in ways that resonate with different audiences. For example, I can design initiatives that highlight shared values, encourage dialogue, and promote mutual understanding. My background in volunteering has also taught me how to adapt messages to different cultural contexts, ensuring inclusivity and impact.
Additionally, I use social media as a tool to share perspectives, raise awareness, and connect people across borders. This allows me to contribute to diplomacy in a modern and accessible way.
I see myself one day contributing to international platforms such as United Nations, where I can apply my creativity and experience to promote peaceful cooperation and global dialogue.</t>
  </si>
  <si>
    <t>googel</t>
  </si>
  <si>
    <t>Diplomacy in Middle East</t>
  </si>
  <si>
    <t>Salma Ouhriz</t>
  </si>
  <si>
    <t>+8619863923269</t>
  </si>
  <si>
    <t>QE6072012</t>
  </si>
  <si>
    <t>+212633433101</t>
  </si>
  <si>
    <t>https://www.instagram.com/salma.oz_</t>
  </si>
  <si>
    <t>1859577252b4786ff354b8b976791776.jpeg</t>
  </si>
  <si>
    <t>Undergraduate degree</t>
  </si>
  <si>
    <t>International economics and trade</t>
  </si>
  <si>
    <t>Linyi University</t>
  </si>
  <si>
    <t>China mainland</t>
  </si>
  <si>
    <t>Yes, Yes. During my Bachelor’s degree in International Business and Trade, I conducted a thesis research project analyzing the positive and negative impacts of Chinese Foreign Direct Investment (FDI) in Morocco.</t>
  </si>
  <si>
    <t>Yes, 临沂爱之旅康复医院, I volunteered at a children’s hospital supporting children with special needs.</t>
  </si>
  <si>
    <t>Yes , WhatsApp community, sharing opportunities for Moroccans youth.</t>
  </si>
  <si>
    <t>To connect young people with educational, cultural, leadership, and international opportunities. The initiative aims to help youth access scholarships, exchange programs and Conferences</t>
  </si>
  <si>
    <t>Research , sports, negotiation, cross-cultural teamwork</t>
  </si>
  <si>
    <t>Yes, I believe meaningful change begins with small actions. In my personal capacity, I have volunteered with children with special needs, spending time supporting and encouraging them. I have also actively shared information about scholarships, youth programs, cultural exchanges, and leadership opportunities with young people, helping them access resources that can transform their futures. Through my studies in China and my research on China–Morocco relations, I have sought to promote intercultural understanding and global awareness. While these actions may seem small, I believe empowering individuals and connecting people across cultures contributes to positive and lasting change.</t>
  </si>
  <si>
    <t>I believe no single country is the most diplomatically significant, as diplomacy depends on cooperation among nations. Having studied in China, I have witnessed how educational exchanges, trade cooperation, and cultural engagement can strengthen relationships between countries. At the same time, organizations such as the United Nations demonstrate that global challenges require collective action. Effective diplomacy is not about the power of one nation but about building dialogue, trust, and cooperation among many nations.</t>
  </si>
  <si>
    <t>Youth play a vital role in diplomacy because they bring new perspectives, creativity, and a willingness to engage across cultural boundaries. In today’s interconnected world, diplomacy is no longer limited to governments and diplomats. Young people contribute through education, cultural exchange, social media, entrepreneurship, and international cooperation.
I relate strongly to the concept of public diplomacy because my own experiences have shown me the value of people-to-people connections. As a Moroccan who studied in China, I have experienced different cultures firsthand and learned how dialogue can overcome misunderstandings and stereotypes. Through sharing opportunities and encouraging international engagement among young people, I aim to build bridges between communities and promote mutual understanding.
Public diplomacy allows ordinary citizens to become ambassadors of their cultures and values. I believe that every interaction between people from different backgrounds can contribute to stronger international relationships. By participating in international programs and engaging with diverse communities, I hope to continue fostering intercultural understanding and encouraging young people to become active contributors to global cooperation and peace.</t>
  </si>
  <si>
    <t>Passion is the inner motivation that drives individuals to keep learning, growing, and pursuing their goals despite challenges. For me, passion comes from my curiosity about different cultures, international cooperation, and creating opportunities for young people. It motivates me to seek new experiences, conduct research, participate in international programs, and continuously improve my skills.
So Passion helps me remain focused during difficult situations and encourages me to view challenges as opportunities for growth. It has guided my academic journey, including my research on China–Morocco economic relations, and continues to inspire my involvement in youth development and cross-cultural initiatives. I believe that passion transforms goals into meaningful actions and enables individuals to make a positive contribution to society.</t>
  </si>
  <si>
    <t>Yes, I consider myself a creative person because I enjoy finding innovative ways to connect people, share ideas, and solve problems. Creativity is an essential tool in public diplomacy because it helps communicate complex messages in ways that are engaging, relatable, and culturally sensitive.
I believe creativity can be used to promote international understanding through storytelling, digital content, cultural exchange initiatives, and youth-led projects. For example, social media platforms can be used to share personal experiences, educational opportunities, and cultural insights that encourage dialogue between people from different backgrounds. Creative campaigns can also highlight common values and foster mutual respect among communities.
I understand the importance of presenting information in ways that inspire curiosity and empathy. By combining creativity with communication, technology, and intercultural understanding, I hope to contribute to public diplomacy efforts that strengthen global connections, encourage cooperation, and empower young people to become active global citizens.
This is one of the main reasons I am applying to this program. I would like to gain a deeper understanding of how public diplomacy operates in practice and how young people can contribute meaningfully to international dialogue and cooperation. I believe this experience will help me develop the knowledge, skills, and global perspective necessary to become a more effective advocate for intercultural understanding and youth engagement.</t>
  </si>
  <si>
    <t>Im a YCDF Bali participant</t>
  </si>
  <si>
    <t>Negotiations, Diplomacy, and International Institutions</t>
  </si>
  <si>
    <t>378474867@qq.com</t>
  </si>
  <si>
    <t>No. 369 Zhongshan North 1st Road, Hongkou District, Shanghai</t>
  </si>
  <si>
    <t>+8615800329510</t>
  </si>
  <si>
    <t>EQ6685172</t>
  </si>
  <si>
    <t>+852 54265627</t>
  </si>
  <si>
    <t>garlenmao.shanghai</t>
  </si>
  <si>
    <t>passport（1）.png</t>
  </si>
  <si>
    <t>微信图片_20260212230040_459_8.jpg</t>
  </si>
  <si>
    <t>Shanghai University of Finance and Economics</t>
  </si>
  <si>
    <t>GarlenMao CV.pdf</t>
  </si>
  <si>
    <t>Yes，I set up an oral English club in my university to help students break down ‘the last wall’ of English learning. I'm also an influencer on the Internet，including Instagram、wechat、Rednote，making an influence on people's daily life. In addition，I attend the CSCD Forum held in Kuala lumpur last time，making an impact on the world and
expanding my Asian circle as well！</t>
  </si>
  <si>
    <t>In my view, China is one of the most diplomatically significant countries in the world. As a permanent member of the UN Security Council, it plays a key role in maintaining global peace and security. Through initiatives like the Belt and Road, it has built extensive partnerships across Asia, Africa, and Europe, promoting economic cooperation and cultural exchange. Its diplomatic philosophy of mutual respect and win-win cooperation also offers an alternative model for international relations, making it a crucial bridge between developing and developed nations.</t>
  </si>
  <si>
    <t>Youth play an irreplaceable role in diplomacy as bridges of mutual understanding and future-oriented change-makers. Unlike traditional state-led diplomacy, youth engagement thrives on cultural exchange, digital connectivity, and grassroots dialogue, which align closely with the spirit of public diplomacy. From China’s perspective, young people embody the country’s soft power: they share stories of Chinese culture, participate in international volunteer programs, and build cross-border friendships through social media and youth forums.
As a young person myself, I see public diplomacy not as a distant concept but as daily actions. When I interact with peers from other countries, I’m not just representing myself—I’m fostering trust, correcting stereotypes, and promoting people-to-people bonds. Youth’s openness to new ideas also drives innovative solutions to global challenges like climate change and cultural misunderstanding, making them vital partners in building a more inclusive and interconnected world.</t>
  </si>
  <si>
    <t>Passion is a powerful and intense emotion that drives us to pursue what we truly love and believe in. It is the spark that ignites our motivation and keeps us going even when the journey gets tough. Passion fuels our determination and resilience, making it easier to overcome obstacles and stay focused on our goals.
When we are passionate about something, we are more likely to put in the time and effort required to succeed. Passion gives us a sense of purpose and direction, making our goals more meaningful and achievable. It helps us stay motivated during challenging times and pushes us to constantly improve and learn. Passion also makes the process of working towards our goals more enjoyable, turning what might otherwise be a chore into something we truly love doing.
In my own experience, passion has been the driving force behind many of my achievements. It has helped me stay committed to my goals, even when progress seemed slow or difficult. Passion not only helps us achieve our goals but also enriches our lives with a sense of fulfillment and joy.</t>
  </si>
  <si>
    <t>Yes, I consider myself a creative person. Creativity is essential in turning ideas into effective public diplomacy strategies. Public diplomacy involves engaging with foreign publics to build mutual understanding and trust. To be effective, it requires innovative approaches that capture attention and foster genuine connections.
One way to turn creativity into an effective public diplomacy strategy is through storytelling. Sharing compelling narratives that highlight cultural values, achievements, and shared human experiences can resonate deeply with audiences. For example, using multimedia platforms to tell stories of everyday people’s lives, traditions, and aspirations can humanize a country and break down stereotypes.
Another approach is leveraging digital and social media. Creative content such as short videos, interactive campaigns, and virtual cultural exchanges can reach a wide audience and encourage engagement. These platforms allow for real-time interaction, enabling public diplomats to listen to foreign publics and adapt their strategies accordingly.
Additionally, creativity can be applied to cultural exchanges and events. Organizing unique and immersive experiences, such as art exhibitions, music festivals, or culinary showcases, can attract diverse audiences and create lasting impressions. By combining creativity with strategic planning and cultural sensitivity, public diplomacy can become a powerful tool for building bridges and fostering international goodwill.</t>
  </si>
  <si>
    <t>Scholarships</t>
  </si>
  <si>
    <t>Sr No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</si>
</sst>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dd/MM/yyyy h:mm AM/PM"/>
    <numFmt numFmtId="166" formatCode="dd/MM/yyyy"/>
    <numFmt numFmtId="167" formatCode="[$$-1]#,##0.00;([$$-1]#,##0.00)"/>
  </numFmts>
  <fonts count="17">
    <font>
      <sz val="10.0"/>
      <color rgb="FF000000"/>
      <name val="Arial"/>
      <scheme val="minor"/>
    </font>
    <font>
      <sz val="11.0"/>
      <color theme="10"/>
      <name val="Calibri"/>
    </font>
    <font>
      <u/>
      <sz val="11.0"/>
      <color theme="10"/>
      <name val="Calibri"/>
    </font>
    <font>
      <color theme="1"/>
      <name val="Arial"/>
    </font>
    <font>
      <sz val="10.0"/>
      <color rgb="FF000000"/>
      <name val="Arial"/>
    </font>
    <font>
      <color theme="1"/>
      <name val="Arial"/>
      <scheme val="minor"/>
    </font>
    <font>
      <sz val="11.0"/>
      <color rgb="FF1155CC"/>
      <name val="Calibri"/>
    </font>
    <font>
      <u/>
      <sz val="11.0"/>
      <color theme="10"/>
      <name val="Calibri"/>
    </font>
    <font>
      <sz val="11.0"/>
      <color theme="1"/>
      <name val="Calibri"/>
    </font>
    <font>
      <u/>
      <sz val="11.0"/>
      <color rgb="FF0000FF"/>
      <name val="Calibri"/>
    </font>
    <font>
      <b/>
      <color theme="1"/>
      <name val="Arial"/>
    </font>
    <font>
      <b/>
      <color theme="1"/>
      <name val="Arial"/>
      <scheme val="minor"/>
    </font>
    <font>
      <b/>
      <color rgb="FFFFFFFF"/>
      <name val="Montserrat"/>
    </font>
    <font>
      <b/>
      <u/>
      <color rgb="FFFFFFFF"/>
      <name val="Montserrat"/>
    </font>
    <font>
      <color theme="1"/>
      <name val="Roboto"/>
    </font>
    <font>
      <u/>
      <color theme="1"/>
      <name val="Roboto"/>
    </font>
    <font>
      <u/>
      <color rgb="FF0000FF"/>
      <name val="Roboto"/>
    </font>
  </fonts>
  <fills count="10">
    <fill>
      <patternFill patternType="none"/>
    </fill>
    <fill>
      <patternFill patternType="lightGray"/>
    </fill>
    <fill>
      <patternFill patternType="solid">
        <fgColor rgb="FFFF9900"/>
        <bgColor rgb="FFFF9900"/>
      </patternFill>
    </fill>
    <fill>
      <patternFill patternType="solid">
        <fgColor rgb="FF00FF00"/>
        <bgColor rgb="FF00FF00"/>
      </patternFill>
    </fill>
    <fill>
      <patternFill patternType="solid">
        <fgColor rgb="FFFF0000"/>
        <bgColor rgb="FFFF0000"/>
      </patternFill>
    </fill>
    <fill>
      <patternFill patternType="solid">
        <fgColor rgb="FFE06666"/>
        <bgColor rgb="FFE06666"/>
      </patternFill>
    </fill>
    <fill>
      <patternFill patternType="solid">
        <fgColor rgb="FFFFFF00"/>
        <bgColor rgb="FFFFFF00"/>
      </patternFill>
    </fill>
    <fill>
      <patternFill patternType="solid">
        <fgColor theme="4"/>
        <bgColor theme="4"/>
      </patternFill>
    </fill>
    <fill>
      <patternFill patternType="solid">
        <fgColor rgb="FFFFFFFF"/>
        <bgColor rgb="FFFFFFFF"/>
      </patternFill>
    </fill>
    <fill>
      <patternFill patternType="solid">
        <fgColor rgb="FF102A5C"/>
        <bgColor rgb="FF102A5C"/>
      </patternFill>
    </fill>
  </fills>
  <borders count="2">
    <border/>
    <border>
      <top style="thin">
        <color rgb="FF000000"/>
      </top>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0" fillId="2" fontId="3" numFmtId="0" xfId="0" applyFill="1" applyFont="1"/>
    <xf borderId="0" fillId="0" fontId="6" numFmtId="0" xfId="0" applyAlignment="1" applyFont="1">
      <alignment horizontal="center"/>
    </xf>
    <xf borderId="0" fillId="3" fontId="3" numFmtId="0" xfId="0" applyFill="1" applyFont="1"/>
    <xf borderId="0" fillId="0" fontId="6" numFmtId="0" xfId="0" applyFont="1"/>
    <xf borderId="0" fillId="4" fontId="3" numFmtId="0" xfId="0" applyFill="1" applyFont="1"/>
    <xf borderId="1" fillId="0" fontId="7" numFmtId="0" xfId="0" applyBorder="1" applyFont="1"/>
    <xf borderId="1" fillId="0" fontId="3" numFmtId="0" xfId="0" applyBorder="1" applyFont="1"/>
    <xf borderId="1" fillId="0" fontId="4" numFmtId="0" xfId="0" applyBorder="1" applyFont="1"/>
    <xf borderId="0" fillId="5" fontId="3" numFmtId="0" xfId="0" applyFill="1" applyFont="1"/>
    <xf borderId="0" fillId="0" fontId="8" numFmtId="0" xfId="0" applyAlignment="1" applyFont="1">
      <alignment horizontal="center"/>
    </xf>
    <xf borderId="0" fillId="0" fontId="9" numFmtId="0" xfId="0" applyFont="1"/>
    <xf borderId="0" fillId="0" fontId="8" numFmtId="0" xfId="0" applyFont="1"/>
    <xf borderId="1" fillId="3" fontId="3" numFmtId="0" xfId="0" applyBorder="1" applyFont="1"/>
    <xf borderId="0" fillId="6" fontId="3" numFmtId="0" xfId="0" applyFill="1" applyFont="1"/>
    <xf borderId="0" fillId="0" fontId="3" numFmtId="0" xfId="0" applyAlignment="1" applyFont="1">
      <alignment horizontal="center"/>
    </xf>
    <xf borderId="0" fillId="0" fontId="5" numFmtId="0" xfId="0" applyAlignment="1" applyFont="1">
      <alignment readingOrder="0"/>
    </xf>
    <xf borderId="0" fillId="0" fontId="10" numFmtId="0" xfId="0" applyFont="1"/>
    <xf borderId="0" fillId="0" fontId="11" numFmtId="0" xfId="0" applyFont="1"/>
    <xf borderId="0" fillId="0" fontId="8" numFmtId="164" xfId="0" applyFont="1" applyNumberFormat="1"/>
    <xf borderId="0" fillId="0" fontId="8" numFmtId="165" xfId="0" applyFont="1" applyNumberFormat="1"/>
    <xf borderId="0" fillId="0" fontId="8" numFmtId="166" xfId="0" applyFont="1" applyNumberFormat="1"/>
    <xf borderId="0" fillId="0" fontId="8" numFmtId="167" xfId="0" applyFont="1" applyNumberFormat="1"/>
    <xf borderId="0" fillId="7" fontId="8" numFmtId="164" xfId="0" applyFill="1" applyFont="1" applyNumberFormat="1"/>
    <xf borderId="0" fillId="7" fontId="5" numFmtId="0" xfId="0" applyFont="1"/>
    <xf borderId="0" fillId="7" fontId="3" numFmtId="0" xfId="0" applyFont="1"/>
    <xf borderId="0" fillId="7" fontId="8" numFmtId="165" xfId="0" applyFont="1" applyNumberFormat="1"/>
    <xf borderId="0" fillId="7" fontId="8" numFmtId="166" xfId="0" applyFont="1" applyNumberFormat="1"/>
    <xf borderId="0" fillId="7" fontId="4" numFmtId="0" xfId="0" applyFont="1"/>
    <xf borderId="0" fillId="7" fontId="8" numFmtId="167" xfId="0" applyFont="1" applyNumberFormat="1"/>
    <xf borderId="0" fillId="8" fontId="8" numFmtId="164" xfId="0" applyFill="1" applyFont="1" applyNumberFormat="1"/>
    <xf borderId="0" fillId="8" fontId="5" numFmtId="0" xfId="0" applyAlignment="1" applyFont="1">
      <alignment readingOrder="0"/>
    </xf>
    <xf borderId="0" fillId="8" fontId="3" numFmtId="0" xfId="0" applyFont="1"/>
    <xf borderId="0" fillId="8" fontId="8" numFmtId="165" xfId="0" applyFont="1" applyNumberFormat="1"/>
    <xf borderId="0" fillId="8" fontId="8" numFmtId="166" xfId="0" applyFont="1" applyNumberFormat="1"/>
    <xf borderId="0" fillId="8" fontId="8" numFmtId="167" xfId="0" applyFont="1" applyNumberFormat="1"/>
    <xf borderId="0" fillId="8" fontId="5" numFmtId="0" xfId="0" applyFont="1"/>
    <xf borderId="0" fillId="0" fontId="3" numFmtId="0" xfId="0" applyAlignment="1" applyFont="1">
      <alignment readingOrder="0"/>
    </xf>
    <xf borderId="0" fillId="0" fontId="10" numFmtId="0" xfId="0" applyAlignment="1" applyFont="1">
      <alignment readingOrder="0"/>
    </xf>
    <xf borderId="0" fillId="0" fontId="10" numFmtId="0" xfId="0" applyAlignment="1" applyFont="1">
      <alignment horizontal="center"/>
    </xf>
    <xf borderId="0" fillId="0" fontId="8" numFmtId="164" xfId="0" applyAlignment="1" applyFont="1" applyNumberFormat="1">
      <alignment horizontal="center" readingOrder="0"/>
    </xf>
    <xf borderId="0" fillId="0" fontId="8" numFmtId="164" xfId="0" applyAlignment="1" applyFont="1" applyNumberFormat="1">
      <alignment horizontal="center"/>
    </xf>
    <xf borderId="0" fillId="8" fontId="8" numFmtId="164" xfId="0" applyAlignment="1" applyFont="1" applyNumberFormat="1">
      <alignment horizontal="center" readingOrder="0"/>
    </xf>
    <xf borderId="0" fillId="8" fontId="8" numFmtId="164" xfId="0" applyAlignment="1" applyFont="1" applyNumberFormat="1">
      <alignment horizontal="center"/>
    </xf>
    <xf borderId="0" fillId="0" fontId="5" numFmtId="0" xfId="0" applyAlignment="1" applyFont="1">
      <alignment horizontal="center"/>
    </xf>
    <xf borderId="0" fillId="0" fontId="10" numFmtId="0" xfId="0" applyAlignment="1" applyFont="1">
      <alignment horizontal="left"/>
    </xf>
    <xf borderId="0" fillId="7" fontId="8" numFmtId="164" xfId="0" applyAlignment="1" applyFont="1" applyNumberFormat="1">
      <alignment horizontal="center" readingOrder="0"/>
    </xf>
    <xf borderId="0" fillId="7" fontId="8" numFmtId="164" xfId="0" applyAlignment="1" applyFont="1" applyNumberFormat="1">
      <alignment horizontal="left"/>
    </xf>
    <xf borderId="0" fillId="0" fontId="5" numFmtId="0" xfId="0" applyAlignment="1" applyFont="1">
      <alignment horizontal="left"/>
    </xf>
    <xf borderId="0" fillId="0" fontId="10" numFmtId="0" xfId="0" applyAlignment="1" applyFont="1">
      <alignment horizontal="center" readingOrder="0"/>
    </xf>
    <xf borderId="0" fillId="9" fontId="12" numFmtId="0" xfId="0" applyFill="1" applyFont="1"/>
    <xf borderId="0" fillId="9" fontId="12" numFmtId="164" xfId="0" applyFont="1" applyNumberFormat="1"/>
    <xf borderId="0" fillId="9" fontId="12" numFmtId="165" xfId="0" applyFont="1" applyNumberFormat="1"/>
    <xf borderId="0" fillId="9" fontId="12" numFmtId="166" xfId="0" applyFont="1" applyNumberFormat="1"/>
    <xf borderId="0" fillId="9" fontId="13" numFmtId="0" xfId="0" applyFont="1"/>
    <xf borderId="0" fillId="9" fontId="12" numFmtId="167" xfId="0" applyFont="1" applyNumberFormat="1"/>
    <xf borderId="0" fillId="0" fontId="14" numFmtId="0" xfId="0" applyFont="1"/>
    <xf borderId="0" fillId="0" fontId="14" numFmtId="164" xfId="0" applyFont="1" applyNumberFormat="1"/>
    <xf borderId="0" fillId="0" fontId="14" numFmtId="165" xfId="0" applyFont="1" applyNumberFormat="1"/>
    <xf borderId="0" fillId="0" fontId="14" numFmtId="166" xfId="0" applyFont="1" applyNumberFormat="1"/>
    <xf borderId="0" fillId="0" fontId="15" numFmtId="0" xfId="0" applyFont="1"/>
    <xf borderId="0" fillId="0" fontId="14" numFmtId="167" xfId="0" applyFont="1" applyNumberFormat="1"/>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y.aidaform.com/form/3a5cmgm00x8/response/abaf155d-0b17-4df7-b5d4-06f01bf211f5" TargetMode="External"/><Relationship Id="rId42" Type="http://schemas.openxmlformats.org/officeDocument/2006/relationships/hyperlink" Target="https://my.aidaform.com/form/3a5cmgm00x8/response/418e21a2-120d-4192-8061-899ac1e44198" TargetMode="External"/><Relationship Id="rId41" Type="http://schemas.openxmlformats.org/officeDocument/2006/relationships/hyperlink" Target="https://my.aidaform.com/form/3a5cmgm00x8/response/ea3505fd-763f-4435-aca2-9ee86a2d5504" TargetMode="External"/><Relationship Id="rId44" Type="http://schemas.openxmlformats.org/officeDocument/2006/relationships/hyperlink" Target="https://my.aidaform.com/form/3a5cmgm00x8/response/ec0d84b4-a486-4548-852c-0e3bdbd0dc42" TargetMode="External"/><Relationship Id="rId43" Type="http://schemas.openxmlformats.org/officeDocument/2006/relationships/hyperlink" Target="https://my.aidaform.com/form/3a5cmgm00x8/response/a321bda3-b27c-4b98-a2d4-6f631bdd32ce" TargetMode="External"/><Relationship Id="rId46" Type="http://schemas.openxmlformats.org/officeDocument/2006/relationships/hyperlink" Target="https://my.aidaform.com/form/3a5cmgm00x8/response/e909316b-b371-4a96-ac3d-762f1002a1b9" TargetMode="External"/><Relationship Id="rId45" Type="http://schemas.openxmlformats.org/officeDocument/2006/relationships/hyperlink" Target="https://my.aidaform.com/form/3a5cmgm00x8/response/dfcce33f-35c7-4c16-a940-e3e59f641b8e" TargetMode="External"/><Relationship Id="rId107" Type="http://schemas.openxmlformats.org/officeDocument/2006/relationships/hyperlink" Target="https://my.aidaform.com/form/3a5cmgm00x8/response/2dd944c3-a117-43ef-a50d-868b21d9334d" TargetMode="External"/><Relationship Id="rId106" Type="http://schemas.openxmlformats.org/officeDocument/2006/relationships/hyperlink" Target="https://my.aidaform.com/form/3a5cmgm00x8/response/86ac03bc-0ffc-461d-9258-ae593bd94f2d" TargetMode="External"/><Relationship Id="rId105" Type="http://schemas.openxmlformats.org/officeDocument/2006/relationships/hyperlink" Target="https://my.aidaform.com/form/3a5cmgm00x8/response/a091d0db-4a42-4c0c-8363-10a77f873af3" TargetMode="External"/><Relationship Id="rId104" Type="http://schemas.openxmlformats.org/officeDocument/2006/relationships/hyperlink" Target="https://my.aidaform.com/form/3a5cmgm00x8/response/885a0de6-1bfa-4b3a-8202-85ba7216a922" TargetMode="External"/><Relationship Id="rId109" Type="http://schemas.openxmlformats.org/officeDocument/2006/relationships/hyperlink" Target="https://my.aidaform.com/form/3a5cmgm00x8/response/5979d563-710e-4b3f-b459-300621bd8d99" TargetMode="External"/><Relationship Id="rId108" Type="http://schemas.openxmlformats.org/officeDocument/2006/relationships/hyperlink" Target="https://my.aidaform.com/form/3a5cmgm00x8/response/86b08722-56b7-4631-a3f0-4e18122ba85b" TargetMode="External"/><Relationship Id="rId48" Type="http://schemas.openxmlformats.org/officeDocument/2006/relationships/hyperlink" Target="https://my.aidaform.com/form/3a5cmgm00x8/response/bc1f62e1-aaab-4183-934a-0c937817c84c" TargetMode="External"/><Relationship Id="rId47" Type="http://schemas.openxmlformats.org/officeDocument/2006/relationships/hyperlink" Target="https://my.aidaform.com/form/3a5cmgm00x8/response/06f4953d-b324-4a55-abd9-d3932c5bd1ca" TargetMode="External"/><Relationship Id="rId49" Type="http://schemas.openxmlformats.org/officeDocument/2006/relationships/hyperlink" Target="https://my.aidaform.com/form/3a5cmgm00x8/response/3fc5abef-71ea-4db0-82ab-3730f1d47c15" TargetMode="External"/><Relationship Id="rId103" Type="http://schemas.openxmlformats.org/officeDocument/2006/relationships/hyperlink" Target="https://my.aidaform.com/form/3a5cmgm00x8/response/e3d0f3e3-97e1-463e-b186-103d8fba7235" TargetMode="External"/><Relationship Id="rId102" Type="http://schemas.openxmlformats.org/officeDocument/2006/relationships/hyperlink" Target="https://my.aidaform.com/form/3a5cmgm00x8/response/fe2e5037-c18e-48bb-bda5-fffd04a052bf" TargetMode="External"/><Relationship Id="rId101" Type="http://schemas.openxmlformats.org/officeDocument/2006/relationships/hyperlink" Target="https://my.aidaform.com/form/3a5cmgm00x8/response/9fc29cf7-3180-4aea-940e-3d91c23aa400" TargetMode="External"/><Relationship Id="rId100" Type="http://schemas.openxmlformats.org/officeDocument/2006/relationships/hyperlink" Target="https://my.aidaform.com/form/3a5cmgm00x8/response/64d2cdb7-b16e-487b-8eef-1a11df79d40a" TargetMode="External"/><Relationship Id="rId31" Type="http://schemas.openxmlformats.org/officeDocument/2006/relationships/hyperlink" Target="https://my.aidaform.com/form/3a5cmgm00x8/response/c736ad38-1fb2-4464-9aa6-3031b8aae46e" TargetMode="External"/><Relationship Id="rId30" Type="http://schemas.openxmlformats.org/officeDocument/2006/relationships/hyperlink" Target="https://my.aidaform.com/form/3a5cmgm00x8/response/e9318082-e350-4e22-8219-d0a40ca28270" TargetMode="External"/><Relationship Id="rId33" Type="http://schemas.openxmlformats.org/officeDocument/2006/relationships/hyperlink" Target="https://my.aidaform.com/form/3a5cmgm00x8/response/e5257c27-4221-408d-a2b0-10ba495881a6" TargetMode="External"/><Relationship Id="rId32" Type="http://schemas.openxmlformats.org/officeDocument/2006/relationships/hyperlink" Target="https://my.aidaform.com/form/3a5cmgm00x8/response/e9f0d19d-e94a-4a22-8935-a5651cda4bc8" TargetMode="External"/><Relationship Id="rId35" Type="http://schemas.openxmlformats.org/officeDocument/2006/relationships/hyperlink" Target="https://my.aidaform.com/form/3a5cmgm00x8/response/01e245cf-6e2c-49e0-9d69-27964d76fe71" TargetMode="External"/><Relationship Id="rId34" Type="http://schemas.openxmlformats.org/officeDocument/2006/relationships/hyperlink" Target="https://my.aidaform.com/form/3a5cmgm00x8/response/21357e8e-3b08-45d1-b1dc-e9ddbab277ed" TargetMode="External"/><Relationship Id="rId37" Type="http://schemas.openxmlformats.org/officeDocument/2006/relationships/hyperlink" Target="https://my.aidaform.com/form/3a5cmgm00x8/response/eb95ff47-701e-4331-a652-1b4a8679cd46" TargetMode="External"/><Relationship Id="rId36" Type="http://schemas.openxmlformats.org/officeDocument/2006/relationships/hyperlink" Target="https://my.aidaform.com/form/3a5cmgm00x8/response/08b225f1-92c5-4126-95d9-13b77dc5bef5" TargetMode="External"/><Relationship Id="rId39" Type="http://schemas.openxmlformats.org/officeDocument/2006/relationships/hyperlink" Target="https://my.aidaform.com/form/3a5cmgm00x8/response/0bfc92c0-e815-4cde-98ad-2656788b3b47" TargetMode="External"/><Relationship Id="rId38" Type="http://schemas.openxmlformats.org/officeDocument/2006/relationships/hyperlink" Target="https://my.aidaform.com/form/3a5cmgm00x8/response/12970ddd-7569-4717-871c-d34d81bc33f7" TargetMode="External"/><Relationship Id="rId20" Type="http://schemas.openxmlformats.org/officeDocument/2006/relationships/hyperlink" Target="https://my.aidaform.com/form/3a5cmgm00x8/response/87a7b6d2-8946-4996-9e40-c2c30058d390" TargetMode="External"/><Relationship Id="rId22" Type="http://schemas.openxmlformats.org/officeDocument/2006/relationships/hyperlink" Target="https://my.aidaform.com/form/3a5cmgm00x8/response/4daa6675-3517-4fd3-8850-4d52ee899b31" TargetMode="External"/><Relationship Id="rId21" Type="http://schemas.openxmlformats.org/officeDocument/2006/relationships/hyperlink" Target="https://my.aidaform.com/form/3a5cmgm00x8/response/d2449818-e5c5-4726-a232-7025145096c9" TargetMode="External"/><Relationship Id="rId24" Type="http://schemas.openxmlformats.org/officeDocument/2006/relationships/hyperlink" Target="https://my.aidaform.com/form/3a5cmgm00x8/response/ddd3b18a-7762-41c2-8fed-59d6f65dbc5a" TargetMode="External"/><Relationship Id="rId23" Type="http://schemas.openxmlformats.org/officeDocument/2006/relationships/hyperlink" Target="https://my.aidaform.com/form/3a5cmgm00x8/response/13e0f485-9566-4d9b-a0bc-03a01946bff2" TargetMode="External"/><Relationship Id="rId26" Type="http://schemas.openxmlformats.org/officeDocument/2006/relationships/hyperlink" Target="https://my.aidaform.com/form/3a5cmgm00x8/response/10aca9b4-6313-4950-a186-dead2cab6b93" TargetMode="External"/><Relationship Id="rId121" Type="http://schemas.openxmlformats.org/officeDocument/2006/relationships/hyperlink" Target="https://my.aidaform.com/form/3a5cmgm00x8/response/0fce47d1-48f5-4c86-8c1a-d5ae8391dc4d" TargetMode="External"/><Relationship Id="rId25" Type="http://schemas.openxmlformats.org/officeDocument/2006/relationships/hyperlink" Target="https://my.aidaform.com/form/3a5cmgm00x8/response/6535bd4d-7dfd-401a-85d6-0271d265ad97" TargetMode="External"/><Relationship Id="rId120" Type="http://schemas.openxmlformats.org/officeDocument/2006/relationships/hyperlink" Target="https://my.aidaform.com/form/3a5cmgm00x8/response/cb903802-46ec-4a41-9e92-4641bfbe1df1" TargetMode="External"/><Relationship Id="rId28" Type="http://schemas.openxmlformats.org/officeDocument/2006/relationships/hyperlink" Target="https://my.aidaform.com/form/3a5cmgm00x8/response/16400b1a-6aa2-4f34-b263-aa33a8dee5bb" TargetMode="External"/><Relationship Id="rId27" Type="http://schemas.openxmlformats.org/officeDocument/2006/relationships/hyperlink" Target="https://my.aidaform.com/form/3a5cmgm00x8/response/257f55c1-7071-4c8f-acdf-4f1e7e99668b" TargetMode="External"/><Relationship Id="rId29" Type="http://schemas.openxmlformats.org/officeDocument/2006/relationships/hyperlink" Target="https://my.aidaform.com/form/3a5cmgm00x8/response/58201bcf-5be9-4aae-aec7-5f8f01bc814c" TargetMode="External"/><Relationship Id="rId124" Type="http://schemas.openxmlformats.org/officeDocument/2006/relationships/drawing" Target="../drawings/drawing1.xml"/><Relationship Id="rId123" Type="http://schemas.openxmlformats.org/officeDocument/2006/relationships/hyperlink" Target="https://my.aidaform.com/form/3a5cmgm00x8/response/cc69f275-149e-491c-b5ac-265df452703e" TargetMode="External"/><Relationship Id="rId122" Type="http://schemas.openxmlformats.org/officeDocument/2006/relationships/hyperlink" Target="https://my.aidaform.com/form/3a5cmgm00x8/response/937a667b-437a-42dc-bae9-f2d12ebe2a84" TargetMode="External"/><Relationship Id="rId95" Type="http://schemas.openxmlformats.org/officeDocument/2006/relationships/hyperlink" Target="https://my.aidaform.com/form/3a5cmgm00x8/response/99177beb-0bed-4981-9261-79256873d7af" TargetMode="External"/><Relationship Id="rId94" Type="http://schemas.openxmlformats.org/officeDocument/2006/relationships/hyperlink" Target="https://my.aidaform.com/form/3a5cmgm00x8/response/46370fe6-1de3-4036-a013-13c8a2b7bfbf" TargetMode="External"/><Relationship Id="rId97" Type="http://schemas.openxmlformats.org/officeDocument/2006/relationships/hyperlink" Target="https://my.aidaform.com/form/3a5cmgm00x8/response/c3c44ce7-44a7-40c5-bd9a-cb21bfb930b3" TargetMode="External"/><Relationship Id="rId96" Type="http://schemas.openxmlformats.org/officeDocument/2006/relationships/hyperlink" Target="https://my.aidaform.com/form/3a5cmgm00x8/response/40d5d883-fdff-493e-bb84-927688b92156" TargetMode="External"/><Relationship Id="rId11" Type="http://schemas.openxmlformats.org/officeDocument/2006/relationships/hyperlink" Target="https://my.aidaform.com/form/3a5cmgm00x8/response/a5e09064-1380-43ed-a3ad-7fe33ff8b704" TargetMode="External"/><Relationship Id="rId99" Type="http://schemas.openxmlformats.org/officeDocument/2006/relationships/hyperlink" Target="https://my.aidaform.com/form/3a5cmgm00x8/response/418b62d8-e751-4211-a1ce-afe13da00e62" TargetMode="External"/><Relationship Id="rId10" Type="http://schemas.openxmlformats.org/officeDocument/2006/relationships/hyperlink" Target="https://my.aidaform.com/form/3a5cmgm00x8/response/8738e1c2-a291-46ed-a28e-fd677013505a" TargetMode="External"/><Relationship Id="rId98" Type="http://schemas.openxmlformats.org/officeDocument/2006/relationships/hyperlink" Target="https://my.aidaform.com/form/3a5cmgm00x8/response/47a41065-e866-43a8-9dd5-d2bfb64e23d9" TargetMode="External"/><Relationship Id="rId13" Type="http://schemas.openxmlformats.org/officeDocument/2006/relationships/hyperlink" Target="https://my.aidaform.com/form/3a5cmgm00x8/response/6cd38b0f-a836-4f64-ad1e-894a62ffdc9b" TargetMode="External"/><Relationship Id="rId12" Type="http://schemas.openxmlformats.org/officeDocument/2006/relationships/hyperlink" Target="https://my.aidaform.com/form/3a5cmgm00x8/response/16c9f03b-bc8c-4bcc-93d2-366489b9fa92" TargetMode="External"/><Relationship Id="rId91" Type="http://schemas.openxmlformats.org/officeDocument/2006/relationships/hyperlink" Target="https://my.aidaform.com/form/3a5cmgm00x8/response/6c52ec0c-c038-427d-906d-9fffd5533655" TargetMode="External"/><Relationship Id="rId90" Type="http://schemas.openxmlformats.org/officeDocument/2006/relationships/hyperlink" Target="https://my.aidaform.com/form/3a5cmgm00x8/response/3f471f2a-b002-4102-9b6c-7f287d192a99" TargetMode="External"/><Relationship Id="rId93" Type="http://schemas.openxmlformats.org/officeDocument/2006/relationships/hyperlink" Target="https://my.aidaform.com/form/3a5cmgm00x8/response/95e13aec-90d0-41b0-840a-bdc3ca6fe176" TargetMode="External"/><Relationship Id="rId92" Type="http://schemas.openxmlformats.org/officeDocument/2006/relationships/hyperlink" Target="https://my.aidaform.com/form/3a5cmgm00x8/response/2b991af1-b4dd-4b54-94f5-c696efc4b0cf" TargetMode="External"/><Relationship Id="rId118" Type="http://schemas.openxmlformats.org/officeDocument/2006/relationships/hyperlink" Target="https://my.aidaform.com/form/3a5cmgm00x8/response/f5eee282-1f72-4d47-8c0e-d13eef2bbaad" TargetMode="External"/><Relationship Id="rId117" Type="http://schemas.openxmlformats.org/officeDocument/2006/relationships/hyperlink" Target="https://my.aidaform.com/form/3a5cmgm00x8/response/f0580d0f-dab3-4524-99d6-72ec20a3126e" TargetMode="External"/><Relationship Id="rId116" Type="http://schemas.openxmlformats.org/officeDocument/2006/relationships/hyperlink" Target="https://my.aidaform.com/form/3a5cmgm00x8/response/051458f7-12b4-43a2-8586-2ff615a8b1c8" TargetMode="External"/><Relationship Id="rId115" Type="http://schemas.openxmlformats.org/officeDocument/2006/relationships/hyperlink" Target="https://my.aidaform.com/form/3a5cmgm00x8/response/02b28cef-908e-47bc-be5e-144b1d350867" TargetMode="External"/><Relationship Id="rId119" Type="http://schemas.openxmlformats.org/officeDocument/2006/relationships/hyperlink" Target="https://my.aidaform.com/form/3a5cmgm00x8/response/f8c5937d-272e-4560-8bee-ec72bcadbca5" TargetMode="External"/><Relationship Id="rId15" Type="http://schemas.openxmlformats.org/officeDocument/2006/relationships/hyperlink" Target="https://my.aidaform.com/form/3a5cmgm00x8/response/f1169621-f979-46ea-83df-6e5a02ddcf28" TargetMode="External"/><Relationship Id="rId110" Type="http://schemas.openxmlformats.org/officeDocument/2006/relationships/hyperlink" Target="https://my.aidaform.com/form/3a5cmgm00x8/response/284e68a0-cc23-42e0-bda7-76c7c6ff51db" TargetMode="External"/><Relationship Id="rId14" Type="http://schemas.openxmlformats.org/officeDocument/2006/relationships/hyperlink" Target="https://my.aidaform.com/form/3a5cmgm00x8/response/9d22b5ed-08fe-4af6-a31e-cf34d75763d8" TargetMode="External"/><Relationship Id="rId17" Type="http://schemas.openxmlformats.org/officeDocument/2006/relationships/hyperlink" Target="https://my.aidaform.com/form/3a5cmgm00x8/response/2e7fa182-eeeb-4102-a92e-f13a5558a0a6" TargetMode="External"/><Relationship Id="rId16" Type="http://schemas.openxmlformats.org/officeDocument/2006/relationships/hyperlink" Target="https://my.aidaform.com/form/3a5cmgm00x8/response/feef56a4-4422-4e74-8914-be83cae02200" TargetMode="External"/><Relationship Id="rId19" Type="http://schemas.openxmlformats.org/officeDocument/2006/relationships/hyperlink" Target="https://my.aidaform.com/form/3a5cmgm00x8/response/fefb6fe0-3339-438b-a8c5-80f81b9e1ae0" TargetMode="External"/><Relationship Id="rId114" Type="http://schemas.openxmlformats.org/officeDocument/2006/relationships/hyperlink" Target="https://my.aidaform.com/form/3a5cmgm00x8/response/b8424f01-5c66-4290-842d-2125bfa2cfd3" TargetMode="External"/><Relationship Id="rId18" Type="http://schemas.openxmlformats.org/officeDocument/2006/relationships/hyperlink" Target="https://my.aidaform.com/form/3a5cmgm00x8/response/ab731e70-b253-44e4-8c18-cc07d46a9e76" TargetMode="External"/><Relationship Id="rId113" Type="http://schemas.openxmlformats.org/officeDocument/2006/relationships/hyperlink" Target="https://my.aidaform.com/form/3a5cmgm00x8/response/da8ca3b1-7325-42eb-ab23-e82d48cbb6f0" TargetMode="External"/><Relationship Id="rId112" Type="http://schemas.openxmlformats.org/officeDocument/2006/relationships/hyperlink" Target="https://my.aidaform.com/form/3a5cmgm00x8/response/f8212c4f-7388-4595-a97e-cd79bd16d14c" TargetMode="External"/><Relationship Id="rId111" Type="http://schemas.openxmlformats.org/officeDocument/2006/relationships/hyperlink" Target="https://my.aidaform.com/form/3a5cmgm00x8/response/1337a3c5-d8e9-49d9-9853-acf957c61718" TargetMode="External"/><Relationship Id="rId84" Type="http://schemas.openxmlformats.org/officeDocument/2006/relationships/hyperlink" Target="https://my.aidaform.com/form/3a5cmgm00x8/response/af41bce0-3a7d-4891-9532-884a199e06d1" TargetMode="External"/><Relationship Id="rId83" Type="http://schemas.openxmlformats.org/officeDocument/2006/relationships/hyperlink" Target="https://my.aidaform.com/form/3a5cmgm00x8/response/8551fc9f-e4a4-4a41-9c4d-ad8b1cdd0b72" TargetMode="External"/><Relationship Id="rId86" Type="http://schemas.openxmlformats.org/officeDocument/2006/relationships/hyperlink" Target="https://my.aidaform.com/form/3a5cmgm00x8/response/0ecddca0-eb7f-406e-8521-6bec6f474628" TargetMode="External"/><Relationship Id="rId85" Type="http://schemas.openxmlformats.org/officeDocument/2006/relationships/hyperlink" Target="https://my.aidaform.com/form/3a5cmgm00x8/response/bcdb0962-931d-4d3f-8bec-e8c47bc38533" TargetMode="External"/><Relationship Id="rId88" Type="http://schemas.openxmlformats.org/officeDocument/2006/relationships/hyperlink" Target="https://my.aidaform.com/form/3a5cmgm00x8/response/be439bef-5c4a-462d-abf4-ef0294f42ae4" TargetMode="External"/><Relationship Id="rId87" Type="http://schemas.openxmlformats.org/officeDocument/2006/relationships/hyperlink" Target="https://my.aidaform.com/form/3a5cmgm00x8/response/c519be7e-43e9-47e6-be4b-3fa83b897c2b" TargetMode="External"/><Relationship Id="rId89" Type="http://schemas.openxmlformats.org/officeDocument/2006/relationships/hyperlink" Target="https://my.aidaform.com/form/3a5cmgm00x8/response/0bc99b0a-c4be-4242-8e0d-3697fd4773e8" TargetMode="External"/><Relationship Id="rId80" Type="http://schemas.openxmlformats.org/officeDocument/2006/relationships/hyperlink" Target="https://my.aidaform.com/form/3a5cmgm00x8/response/8cd162ce-f80d-482c-abd3-d83c121f358e" TargetMode="External"/><Relationship Id="rId82" Type="http://schemas.openxmlformats.org/officeDocument/2006/relationships/hyperlink" Target="https://my.aidaform.com/form/3a5cmgm00x8/response/eb290178-6901-4784-abba-07a63cdce82c" TargetMode="External"/><Relationship Id="rId81" Type="http://schemas.openxmlformats.org/officeDocument/2006/relationships/hyperlink" Target="https://my.aidaform.com/form/3a5cmgm00x8/response/24862787-d559-4182-91d0-67851148de44" TargetMode="External"/><Relationship Id="rId1" Type="http://schemas.openxmlformats.org/officeDocument/2006/relationships/hyperlink" Target="https://my.aidaform.com/form/3a5cmgm00x8/response/9fdd928c-3071-46ef-b322-65ef02df8fbc" TargetMode="External"/><Relationship Id="rId2" Type="http://schemas.openxmlformats.org/officeDocument/2006/relationships/hyperlink" Target="https://my.aidaform.com/form/3a5cmgm00x8/response/552fdaa7-e6a8-4bf5-b9c4-7a70f5307e47" TargetMode="External"/><Relationship Id="rId3" Type="http://schemas.openxmlformats.org/officeDocument/2006/relationships/hyperlink" Target="https://my.aidaform.com/form/3a5cmgm00x8/response/731d62b9-00a1-4a77-83ae-fbfc7e46d299" TargetMode="External"/><Relationship Id="rId4" Type="http://schemas.openxmlformats.org/officeDocument/2006/relationships/hyperlink" Target="https://my.aidaform.com/form/3a5cmgm00x8/response/2c5b858b-343b-4df2-ac2e-a3038d4fbe92" TargetMode="External"/><Relationship Id="rId9" Type="http://schemas.openxmlformats.org/officeDocument/2006/relationships/hyperlink" Target="https://my.aidaform.com/form/3a5cmgm00x8/response/3d5bbd64-14d3-474f-aed0-e7d6fb9fa449" TargetMode="External"/><Relationship Id="rId5" Type="http://schemas.openxmlformats.org/officeDocument/2006/relationships/hyperlink" Target="https://my.aidaform.com/form/3a5cmgm00x8/response/6e37249a-5492-4332-a287-7b88c505c707" TargetMode="External"/><Relationship Id="rId6" Type="http://schemas.openxmlformats.org/officeDocument/2006/relationships/hyperlink" Target="https://my.aidaform.com/form/3a5cmgm00x8/response/851f8968-f8e4-4284-9aae-b1204473c2bb" TargetMode="External"/><Relationship Id="rId7" Type="http://schemas.openxmlformats.org/officeDocument/2006/relationships/hyperlink" Target="https://my.aidaform.com/form/3a5cmgm00x8/response/65501328-3509-4d3d-bdf2-037cb26280b0" TargetMode="External"/><Relationship Id="rId8" Type="http://schemas.openxmlformats.org/officeDocument/2006/relationships/hyperlink" Target="https://my.aidaform.com/form/3a5cmgm00x8/response/ba18d545-6bfb-42be-ac59-dd4094c1750a" TargetMode="External"/><Relationship Id="rId73" Type="http://schemas.openxmlformats.org/officeDocument/2006/relationships/hyperlink" Target="https://my.aidaform.com/form/3a5cmgm00x8/response/34a9f76a-0399-478e-acd1-54874f8bddc8" TargetMode="External"/><Relationship Id="rId72" Type="http://schemas.openxmlformats.org/officeDocument/2006/relationships/hyperlink" Target="https://my.aidaform.com/form/3a5cmgm00x8/response/e9620fb4-44c5-49ce-ae35-d005bf3ea7bb" TargetMode="External"/><Relationship Id="rId75" Type="http://schemas.openxmlformats.org/officeDocument/2006/relationships/hyperlink" Target="https://my.aidaform.com/form/3a5cmgm00x8/response/6dc6bddb-45f7-4d1a-966c-0793744813c5" TargetMode="External"/><Relationship Id="rId74" Type="http://schemas.openxmlformats.org/officeDocument/2006/relationships/hyperlink" Target="https://my.aidaform.com/form/3a5cmgm00x8/response/070ee318-98be-4d0a-a22d-8364fd81212d" TargetMode="External"/><Relationship Id="rId77" Type="http://schemas.openxmlformats.org/officeDocument/2006/relationships/hyperlink" Target="https://my.aidaform.com/form/3a5cmgm00x8/response/5910a748-9218-4b2f-b0da-44046effd3fa" TargetMode="External"/><Relationship Id="rId76" Type="http://schemas.openxmlformats.org/officeDocument/2006/relationships/hyperlink" Target="https://my.aidaform.com/form/3a5cmgm00x8/response/898ecbfd-f08c-4cc4-a0fc-eb4084d83dd9" TargetMode="External"/><Relationship Id="rId79" Type="http://schemas.openxmlformats.org/officeDocument/2006/relationships/hyperlink" Target="https://my.aidaform.com/form/3a5cmgm00x8/response/e25e1179-706b-4487-9b06-93d7ed91ce0b" TargetMode="External"/><Relationship Id="rId78" Type="http://schemas.openxmlformats.org/officeDocument/2006/relationships/hyperlink" Target="https://my.aidaform.com/form/3a5cmgm00x8/response/b00b495d-a2b1-46ed-bdc0-ac6053837b9e" TargetMode="External"/><Relationship Id="rId71" Type="http://schemas.openxmlformats.org/officeDocument/2006/relationships/hyperlink" Target="https://my.aidaform.com/form/3a5cmgm00x8/response/9340241a-47f7-4173-9849-cad87e9964dd" TargetMode="External"/><Relationship Id="rId70" Type="http://schemas.openxmlformats.org/officeDocument/2006/relationships/hyperlink" Target="https://my.aidaform.com/form/3a5cmgm00x8/response/70711d03-5afa-453a-b0b3-e41297c522d2" TargetMode="External"/><Relationship Id="rId62" Type="http://schemas.openxmlformats.org/officeDocument/2006/relationships/hyperlink" Target="https://my.aidaform.com/form/3a5cmgm00x8/response/0228aa36-5e17-4375-944a-aebe234b23ba" TargetMode="External"/><Relationship Id="rId61" Type="http://schemas.openxmlformats.org/officeDocument/2006/relationships/hyperlink" Target="https://my.aidaform.com/form/3a5cmgm00x8/response/b3314908-1bff-4de8-93f7-de468f7280b9" TargetMode="External"/><Relationship Id="rId64" Type="http://schemas.openxmlformats.org/officeDocument/2006/relationships/hyperlink" Target="https://my.aidaform.com/form/3a5cmgm00x8/response/b2359713-bf1e-4ade-b79a-b2129e335056" TargetMode="External"/><Relationship Id="rId63" Type="http://schemas.openxmlformats.org/officeDocument/2006/relationships/hyperlink" Target="https://my.aidaform.com/form/3a5cmgm00x8/response/3cb71feb-da79-496b-98ea-067d483e2903" TargetMode="External"/><Relationship Id="rId66" Type="http://schemas.openxmlformats.org/officeDocument/2006/relationships/hyperlink" Target="https://my.aidaform.com/form/3a5cmgm00x8/response/76923de5-3bac-44af-a492-b047bf8030cd" TargetMode="External"/><Relationship Id="rId65" Type="http://schemas.openxmlformats.org/officeDocument/2006/relationships/hyperlink" Target="https://my.aidaform.com/form/3a5cmgm00x8/response/c7a9e5d1-812d-4a1c-8821-b26185361e9c" TargetMode="External"/><Relationship Id="rId68" Type="http://schemas.openxmlformats.org/officeDocument/2006/relationships/hyperlink" Target="https://my.aidaform.com/form/3a5cmgm00x8/response/633343dc-cdff-42b8-9b4e-1726260ff6cd" TargetMode="External"/><Relationship Id="rId67" Type="http://schemas.openxmlformats.org/officeDocument/2006/relationships/hyperlink" Target="https://my.aidaform.com/form/3a5cmgm00x8/response/66e2c6dc-4061-4fa7-900a-23479a9ef7df" TargetMode="External"/><Relationship Id="rId60" Type="http://schemas.openxmlformats.org/officeDocument/2006/relationships/hyperlink" Target="https://my.aidaform.com/form/3a5cmgm00x8/response/d382e788-7726-4cff-b46b-f2ea974ae64e" TargetMode="External"/><Relationship Id="rId69" Type="http://schemas.openxmlformats.org/officeDocument/2006/relationships/hyperlink" Target="https://my.aidaform.com/form/3a5cmgm00x8/response/16dc546e-5428-49de-9f0f-67dc41c16f3a" TargetMode="External"/><Relationship Id="rId51" Type="http://schemas.openxmlformats.org/officeDocument/2006/relationships/hyperlink" Target="https://my.aidaform.com/form/3a5cmgm00x8/response/b9b772d6-e0db-47a0-969b-8d91fd2c6b96" TargetMode="External"/><Relationship Id="rId50" Type="http://schemas.openxmlformats.org/officeDocument/2006/relationships/hyperlink" Target="https://my.aidaform.com/form/3a5cmgm00x8/response/342a5464-cbd9-44ef-90f3-36bc9a512674" TargetMode="External"/><Relationship Id="rId53" Type="http://schemas.openxmlformats.org/officeDocument/2006/relationships/hyperlink" Target="https://my.aidaform.com/form/3a5cmgm00x8/response/e0ac0b58-2868-4b02-989c-5e25f7cb1d00" TargetMode="External"/><Relationship Id="rId52" Type="http://schemas.openxmlformats.org/officeDocument/2006/relationships/hyperlink" Target="https://my.aidaform.com/form/3a5cmgm00x8/response/85e4c9f9-40c8-4e2b-ac5e-37fbf9a8b464" TargetMode="External"/><Relationship Id="rId55" Type="http://schemas.openxmlformats.org/officeDocument/2006/relationships/hyperlink" Target="https://my.aidaform.com/form/3a5cmgm00x8/response/d02a5382-7a4c-48ad-8ca5-288e4cd01d4e" TargetMode="External"/><Relationship Id="rId54" Type="http://schemas.openxmlformats.org/officeDocument/2006/relationships/hyperlink" Target="https://my.aidaform.com/form/3a5cmgm00x8/response/dc19cb1a-23fe-4278-b4ec-b5ed4f221a1b" TargetMode="External"/><Relationship Id="rId57" Type="http://schemas.openxmlformats.org/officeDocument/2006/relationships/hyperlink" Target="https://my.aidaform.com/form/3a5cmgm00x8/response/8ee3cef9-d5e1-4d69-b65d-5640bd2be1a6" TargetMode="External"/><Relationship Id="rId56" Type="http://schemas.openxmlformats.org/officeDocument/2006/relationships/hyperlink" Target="https://my.aidaform.com/form/3a5cmgm00x8/response/c3318535-a108-4715-8b45-bdd147bc3b0d" TargetMode="External"/><Relationship Id="rId59" Type="http://schemas.openxmlformats.org/officeDocument/2006/relationships/hyperlink" Target="https://my.aidaform.com/form/3a5cmgm00x8/response/188f3974-24a1-47f0-a14f-7541bd4a5b94" TargetMode="External"/><Relationship Id="rId58" Type="http://schemas.openxmlformats.org/officeDocument/2006/relationships/hyperlink" Target="https://my.aidaform.com/form/3a5cmgm00x8/response/ea085cb5-fc50-49e8-b93d-d09e69b7364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my.aidaform.com/form/3a5cmgm00x8/response/47a41065-e866-43a8-9dd5-d2bfb64e23d9" TargetMode="External"/><Relationship Id="rId22" Type="http://schemas.openxmlformats.org/officeDocument/2006/relationships/hyperlink" Target="https://my.aidaform.com/form/3a5cmgm00x8/response/06f4953d-b324-4a55-abd9-d3932c5bd1ca" TargetMode="External"/><Relationship Id="rId21" Type="http://schemas.openxmlformats.org/officeDocument/2006/relationships/hyperlink" Target="https://my.aidaform.com/form/3a5cmgm00x8/response/9d22b5ed-08fe-4af6-a31e-cf34d75763d8" TargetMode="External"/><Relationship Id="rId24" Type="http://schemas.openxmlformats.org/officeDocument/2006/relationships/hyperlink" Target="https://my.aidaform.com/form/3a5cmgm00x8/response/552fdaa7-e6a8-4bf5-b9c4-7a70f5307e47" TargetMode="External"/><Relationship Id="rId23" Type="http://schemas.openxmlformats.org/officeDocument/2006/relationships/hyperlink" Target="https://my.aidaform.com/form/3a5cmgm00x8/response/76923de5-3bac-44af-a492-b047bf8030cd" TargetMode="External"/><Relationship Id="rId26" Type="http://schemas.openxmlformats.org/officeDocument/2006/relationships/drawing" Target="../drawings/drawing3.xml"/><Relationship Id="rId25" Type="http://schemas.openxmlformats.org/officeDocument/2006/relationships/hyperlink" Target="https://my.aidaform.com/form/3a5cmgm00x8/response/5910a748-9218-4b2f-b0da-44046effd3fa" TargetMode="External"/><Relationship Id="rId11" Type="http://schemas.openxmlformats.org/officeDocument/2006/relationships/hyperlink" Target="https://my.aidaform.com/form/3a5cmgm00x8/response/eb290178-6901-4784-abba-07a63cdce82c" TargetMode="External"/><Relationship Id="rId10" Type="http://schemas.openxmlformats.org/officeDocument/2006/relationships/hyperlink" Target="https://my.aidaform.com/form/3a5cmgm00x8/response/24862787-d559-4182-91d0-67851148de44" TargetMode="External"/><Relationship Id="rId13" Type="http://schemas.openxmlformats.org/officeDocument/2006/relationships/hyperlink" Target="https://my.aidaform.com/form/3a5cmgm00x8/response/21357e8e-3b08-45d1-b1dc-e9ddbab277ed" TargetMode="External"/><Relationship Id="rId12" Type="http://schemas.openxmlformats.org/officeDocument/2006/relationships/hyperlink" Target="https://my.aidaform.com/form/3a5cmgm00x8/response/937a667b-437a-42dc-bae9-f2d12ebe2a84" TargetMode="External"/><Relationship Id="rId15" Type="http://schemas.openxmlformats.org/officeDocument/2006/relationships/hyperlink" Target="https://my.aidaform.com/form/3a5cmgm00x8/response/be439bef-5c4a-462d-abf4-ef0294f42ae4" TargetMode="External"/><Relationship Id="rId14" Type="http://schemas.openxmlformats.org/officeDocument/2006/relationships/hyperlink" Target="https://my.aidaform.com/form/3a5cmgm00x8/response/633343dc-cdff-42b8-9b4e-1726260ff6cd" TargetMode="External"/><Relationship Id="rId17" Type="http://schemas.openxmlformats.org/officeDocument/2006/relationships/hyperlink" Target="https://my.aidaform.com/form/3a5cmgm00x8/response/12970ddd-7569-4717-871c-d34d81bc33f7" TargetMode="External"/><Relationship Id="rId16" Type="http://schemas.openxmlformats.org/officeDocument/2006/relationships/hyperlink" Target="https://my.aidaform.com/form/3a5cmgm00x8/response/051458f7-12b4-43a2-8586-2ff615a8b1c8" TargetMode="External"/><Relationship Id="rId19" Type="http://schemas.openxmlformats.org/officeDocument/2006/relationships/hyperlink" Target="https://my.aidaform.com/form/3a5cmgm00x8/response/40d5d883-fdff-493e-bb84-927688b92156" TargetMode="External"/><Relationship Id="rId18" Type="http://schemas.openxmlformats.org/officeDocument/2006/relationships/hyperlink" Target="https://my.aidaform.com/form/3a5cmgm00x8/response/c519be7e-43e9-47e6-be4b-3fa83b897c2b" TargetMode="External"/><Relationship Id="rId1" Type="http://schemas.openxmlformats.org/officeDocument/2006/relationships/hyperlink" Target="https://my.aidaform.com/form/3a5cmgm00x8/response/9fdd928c-3071-46ef-b322-65ef02df8fbc" TargetMode="External"/><Relationship Id="rId2" Type="http://schemas.openxmlformats.org/officeDocument/2006/relationships/hyperlink" Target="https://my.aidaform.com/form/3a5cmgm00x8/response/731d62b9-00a1-4a77-83ae-fbfc7e46d299" TargetMode="External"/><Relationship Id="rId3" Type="http://schemas.openxmlformats.org/officeDocument/2006/relationships/hyperlink" Target="https://my.aidaform.com/form/3a5cmgm00x8/response/e909316b-b371-4a96-ac3d-762f1002a1b9" TargetMode="External"/><Relationship Id="rId4" Type="http://schemas.openxmlformats.org/officeDocument/2006/relationships/hyperlink" Target="https://my.aidaform.com/form/3a5cmgm00x8/response/87a7b6d2-8946-4996-9e40-c2c30058d390" TargetMode="External"/><Relationship Id="rId9" Type="http://schemas.openxmlformats.org/officeDocument/2006/relationships/hyperlink" Target="https://my.aidaform.com/form/3a5cmgm00x8/response/8cd162ce-f80d-482c-abd3-d83c121f358e" TargetMode="External"/><Relationship Id="rId5" Type="http://schemas.openxmlformats.org/officeDocument/2006/relationships/hyperlink" Target="https://my.aidaform.com/form/3a5cmgm00x8/response/bcdb0962-931d-4d3f-8bec-e8c47bc38533" TargetMode="External"/><Relationship Id="rId6" Type="http://schemas.openxmlformats.org/officeDocument/2006/relationships/hyperlink" Target="https://my.aidaform.com/form/3a5cmgm00x8/response/b3314908-1bff-4de8-93f7-de468f7280b9" TargetMode="External"/><Relationship Id="rId7" Type="http://schemas.openxmlformats.org/officeDocument/2006/relationships/hyperlink" Target="https://my.aidaform.com/form/3a5cmgm00x8/response/3f471f2a-b002-4102-9b6c-7f287d192a99" TargetMode="External"/><Relationship Id="rId8" Type="http://schemas.openxmlformats.org/officeDocument/2006/relationships/hyperlink" Target="https://my.aidaform.com/form/3a5cmgm00x8/response/0ecddca0-eb7f-406e-8521-6bec6f474628"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my.aidaform.com/form/3a5cmgm00x8/response/85e4c9f9-40c8-4e2b-ac5e-37fbf9a8b464" TargetMode="External"/><Relationship Id="rId22" Type="http://schemas.openxmlformats.org/officeDocument/2006/relationships/hyperlink" Target="https://my.aidaform.com/form/3a5cmgm00x8/response/ea085cb5-fc50-49e8-b93d-d09e69b73640" TargetMode="External"/><Relationship Id="rId21" Type="http://schemas.openxmlformats.org/officeDocument/2006/relationships/hyperlink" Target="https://my.aidaform.com/form/3a5cmgm00x8/response/abaf155d-0b17-4df7-b5d4-06f01bf211f5" TargetMode="External"/><Relationship Id="rId24" Type="http://schemas.openxmlformats.org/officeDocument/2006/relationships/hyperlink" Target="https://my.aidaform.com/form/3a5cmgm00x8/response/95e13aec-90d0-41b0-840a-bdc3ca6fe176" TargetMode="External"/><Relationship Id="rId23" Type="http://schemas.openxmlformats.org/officeDocument/2006/relationships/hyperlink" Target="https://my.aidaform.com/form/3a5cmgm00x8/response/a321bda3-b27c-4b98-a2d4-6f631bdd32ce" TargetMode="External"/><Relationship Id="rId26" Type="http://schemas.openxmlformats.org/officeDocument/2006/relationships/drawing" Target="../drawings/drawing4.xml"/><Relationship Id="rId25" Type="http://schemas.openxmlformats.org/officeDocument/2006/relationships/hyperlink" Target="https://my.aidaform.com/form/3a5cmgm00x8/response/01e245cf-6e2c-49e0-9d69-27964d76fe71" TargetMode="External"/><Relationship Id="rId11" Type="http://schemas.openxmlformats.org/officeDocument/2006/relationships/hyperlink" Target="https://my.aidaform.com/form/3a5cmgm00x8/response/16400b1a-6aa2-4f34-b263-aa33a8dee5bb" TargetMode="External"/><Relationship Id="rId10" Type="http://schemas.openxmlformats.org/officeDocument/2006/relationships/hyperlink" Target="https://my.aidaform.com/form/3a5cmgm00x8/response/898ecbfd-f08c-4cc4-a0fc-eb4084d83dd9" TargetMode="External"/><Relationship Id="rId13" Type="http://schemas.openxmlformats.org/officeDocument/2006/relationships/hyperlink" Target="https://my.aidaform.com/form/3a5cmgm00x8/response/0fce47d1-48f5-4c86-8c1a-d5ae8391dc4d" TargetMode="External"/><Relationship Id="rId12" Type="http://schemas.openxmlformats.org/officeDocument/2006/relationships/hyperlink" Target="https://my.aidaform.com/form/3a5cmgm00x8/response/dfcce33f-35c7-4c16-a940-e3e59f641b8e" TargetMode="External"/><Relationship Id="rId15" Type="http://schemas.openxmlformats.org/officeDocument/2006/relationships/hyperlink" Target="https://my.aidaform.com/form/3a5cmgm00x8/response/02b28cef-908e-47bc-be5e-144b1d350867" TargetMode="External"/><Relationship Id="rId14" Type="http://schemas.openxmlformats.org/officeDocument/2006/relationships/hyperlink" Target="https://my.aidaform.com/form/3a5cmgm00x8/response/b9b772d6-e0db-47a0-969b-8d91fd2c6b96" TargetMode="External"/><Relationship Id="rId17" Type="http://schemas.openxmlformats.org/officeDocument/2006/relationships/hyperlink" Target="https://my.aidaform.com/form/3a5cmgm00x8/response/e0ac0b58-2868-4b02-989c-5e25f7cb1d00" TargetMode="External"/><Relationship Id="rId16" Type="http://schemas.openxmlformats.org/officeDocument/2006/relationships/hyperlink" Target="https://my.aidaform.com/form/3a5cmgm00x8/response/46370fe6-1de3-4036-a013-13c8a2b7bfbf" TargetMode="External"/><Relationship Id="rId19" Type="http://schemas.openxmlformats.org/officeDocument/2006/relationships/hyperlink" Target="https://my.aidaform.com/form/3a5cmgm00x8/response/b2359713-bf1e-4ade-b79a-b2129e335056" TargetMode="External"/><Relationship Id="rId18" Type="http://schemas.openxmlformats.org/officeDocument/2006/relationships/hyperlink" Target="https://my.aidaform.com/form/3a5cmgm00x8/response/99177beb-0bed-4981-9261-79256873d7af" TargetMode="External"/><Relationship Id="rId1" Type="http://schemas.openxmlformats.org/officeDocument/2006/relationships/hyperlink" Target="https://my.aidaform.com/form/3a5cmgm00x8/response/c3c44ce7-44a7-40c5-bd9a-cb21bfb930b3" TargetMode="External"/><Relationship Id="rId2" Type="http://schemas.openxmlformats.org/officeDocument/2006/relationships/hyperlink" Target="https://my.aidaform.com/form/3a5cmgm00x8/response/d02a5382-7a4c-48ad-8ca5-288e4cd01d4e" TargetMode="External"/><Relationship Id="rId3" Type="http://schemas.openxmlformats.org/officeDocument/2006/relationships/hyperlink" Target="https://my.aidaform.com/form/3a5cmgm00x8/response/65501328-3509-4d3d-bdf2-037cb26280b0" TargetMode="External"/><Relationship Id="rId4" Type="http://schemas.openxmlformats.org/officeDocument/2006/relationships/hyperlink" Target="https://my.aidaform.com/form/3a5cmgm00x8/response/418b62d8-e751-4211-a1ce-afe13da00e62" TargetMode="External"/><Relationship Id="rId9" Type="http://schemas.openxmlformats.org/officeDocument/2006/relationships/hyperlink" Target="https://my.aidaform.com/form/3a5cmgm00x8/response/f8c5937d-272e-4560-8bee-ec72bcadbca5" TargetMode="External"/><Relationship Id="rId5" Type="http://schemas.openxmlformats.org/officeDocument/2006/relationships/hyperlink" Target="https://my.aidaform.com/form/3a5cmgm00x8/response/851f8968-f8e4-4284-9aae-b1204473c2bb" TargetMode="External"/><Relationship Id="rId6" Type="http://schemas.openxmlformats.org/officeDocument/2006/relationships/hyperlink" Target="https://my.aidaform.com/form/3a5cmgm00x8/response/b00b495d-a2b1-46ed-bdc0-ac6053837b9e" TargetMode="External"/><Relationship Id="rId7" Type="http://schemas.openxmlformats.org/officeDocument/2006/relationships/hyperlink" Target="https://my.aidaform.com/form/3a5cmgm00x8/response/58201bcf-5be9-4aae-aec7-5f8f01bc814c" TargetMode="External"/><Relationship Id="rId8" Type="http://schemas.openxmlformats.org/officeDocument/2006/relationships/hyperlink" Target="https://my.aidaform.com/form/3a5cmgm00x8/response/ec0d84b4-a486-4548-852c-0e3bdbd0dc42"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my.aidaform.com/form/3a5cmgm00x8/response/a091d0db-4a42-4c0c-8363-10a77f873af3" TargetMode="External"/><Relationship Id="rId22" Type="http://schemas.openxmlformats.org/officeDocument/2006/relationships/hyperlink" Target="https://my.aidaform.com/form/3a5cmgm00x8/response/0228aa36-5e17-4375-944a-aebe234b23ba" TargetMode="External"/><Relationship Id="rId21" Type="http://schemas.openxmlformats.org/officeDocument/2006/relationships/hyperlink" Target="https://my.aidaform.com/form/3a5cmgm00x8/response/cb903802-46ec-4a41-9e92-4641bfbe1df1" TargetMode="External"/><Relationship Id="rId24" Type="http://schemas.openxmlformats.org/officeDocument/2006/relationships/hyperlink" Target="https://my.aidaform.com/form/3a5cmgm00x8/response/4daa6675-3517-4fd3-8850-4d52ee899b31" TargetMode="External"/><Relationship Id="rId23" Type="http://schemas.openxmlformats.org/officeDocument/2006/relationships/hyperlink" Target="https://my.aidaform.com/form/3a5cmgm00x8/response/3cb71feb-da79-496b-98ea-067d483e2903" TargetMode="External"/><Relationship Id="rId26" Type="http://schemas.openxmlformats.org/officeDocument/2006/relationships/drawing" Target="../drawings/drawing5.xml"/><Relationship Id="rId25" Type="http://schemas.openxmlformats.org/officeDocument/2006/relationships/hyperlink" Target="https://my.aidaform.com/form/3a5cmgm00x8/response/f0580d0f-dab3-4524-99d6-72ec20a3126e" TargetMode="External"/><Relationship Id="rId11" Type="http://schemas.openxmlformats.org/officeDocument/2006/relationships/hyperlink" Target="https://my.aidaform.com/form/3a5cmgm00x8/response/f1169621-f979-46ea-83df-6e5a02ddcf28" TargetMode="External"/><Relationship Id="rId10" Type="http://schemas.openxmlformats.org/officeDocument/2006/relationships/hyperlink" Target="https://my.aidaform.com/form/3a5cmgm00x8/response/d382e788-7726-4cff-b46b-f2ea974ae64e" TargetMode="External"/><Relationship Id="rId13" Type="http://schemas.openxmlformats.org/officeDocument/2006/relationships/hyperlink" Target="https://my.aidaform.com/form/3a5cmgm00x8/response/885a0de6-1bfa-4b3a-8202-85ba7216a922" TargetMode="External"/><Relationship Id="rId12" Type="http://schemas.openxmlformats.org/officeDocument/2006/relationships/hyperlink" Target="https://my.aidaform.com/form/3a5cmgm00x8/response/16dc546e-5428-49de-9f0f-67dc41c16f3a" TargetMode="External"/><Relationship Id="rId15" Type="http://schemas.openxmlformats.org/officeDocument/2006/relationships/hyperlink" Target="https://my.aidaform.com/form/3a5cmgm00x8/response/2e7fa182-eeeb-4102-a92e-f13a5558a0a6" TargetMode="External"/><Relationship Id="rId14" Type="http://schemas.openxmlformats.org/officeDocument/2006/relationships/hyperlink" Target="https://my.aidaform.com/form/3a5cmgm00x8/response/8551fc9f-e4a4-4a41-9c4d-ad8b1cdd0b72" TargetMode="External"/><Relationship Id="rId17" Type="http://schemas.openxmlformats.org/officeDocument/2006/relationships/hyperlink" Target="https://my.aidaform.com/form/3a5cmgm00x8/response/284e68a0-cc23-42e0-bda7-76c7c6ff51db" TargetMode="External"/><Relationship Id="rId16" Type="http://schemas.openxmlformats.org/officeDocument/2006/relationships/hyperlink" Target="https://my.aidaform.com/form/3a5cmgm00x8/response/bc1f62e1-aaab-4183-934a-0c937817c84c" TargetMode="External"/><Relationship Id="rId19" Type="http://schemas.openxmlformats.org/officeDocument/2006/relationships/hyperlink" Target="https://my.aidaform.com/form/3a5cmgm00x8/response/f8212c4f-7388-4595-a97e-cd79bd16d14c" TargetMode="External"/><Relationship Id="rId18" Type="http://schemas.openxmlformats.org/officeDocument/2006/relationships/hyperlink" Target="https://my.aidaform.com/form/3a5cmgm00x8/response/8ee3cef9-d5e1-4d69-b65d-5640bd2be1a6" TargetMode="External"/><Relationship Id="rId1" Type="http://schemas.openxmlformats.org/officeDocument/2006/relationships/hyperlink" Target="https://my.aidaform.com/form/3a5cmgm00x8/response/257f55c1-7071-4c8f-acdf-4f1e7e99668b" TargetMode="External"/><Relationship Id="rId2" Type="http://schemas.openxmlformats.org/officeDocument/2006/relationships/hyperlink" Target="https://my.aidaform.com/form/3a5cmgm00x8/response/2b991af1-b4dd-4b54-94f5-c696efc4b0cf" TargetMode="External"/><Relationship Id="rId3" Type="http://schemas.openxmlformats.org/officeDocument/2006/relationships/hyperlink" Target="https://my.aidaform.com/form/3a5cmgm00x8/response/e9620fb4-44c5-49ce-ae35-d005bf3ea7bb" TargetMode="External"/><Relationship Id="rId4" Type="http://schemas.openxmlformats.org/officeDocument/2006/relationships/hyperlink" Target="https://my.aidaform.com/form/3a5cmgm00x8/response/b8424f01-5c66-4290-842d-2125bfa2cfd3" TargetMode="External"/><Relationship Id="rId9" Type="http://schemas.openxmlformats.org/officeDocument/2006/relationships/hyperlink" Target="https://my.aidaform.com/form/3a5cmgm00x8/response/ba18d545-6bfb-42be-ac59-dd4094c1750a" TargetMode="External"/><Relationship Id="rId5" Type="http://schemas.openxmlformats.org/officeDocument/2006/relationships/hyperlink" Target="https://my.aidaform.com/form/3a5cmgm00x8/response/10aca9b4-6313-4950-a186-dead2cab6b93" TargetMode="External"/><Relationship Id="rId6" Type="http://schemas.openxmlformats.org/officeDocument/2006/relationships/hyperlink" Target="https://my.aidaform.com/form/3a5cmgm00x8/response/e9318082-e350-4e22-8219-d0a40ca28270" TargetMode="External"/><Relationship Id="rId7" Type="http://schemas.openxmlformats.org/officeDocument/2006/relationships/hyperlink" Target="https://my.aidaform.com/form/3a5cmgm00x8/response/ea3505fd-763f-4435-aca2-9ee86a2d5504" TargetMode="External"/><Relationship Id="rId8" Type="http://schemas.openxmlformats.org/officeDocument/2006/relationships/hyperlink" Target="https://my.aidaform.com/form/3a5cmgm00x8/response/af41bce0-3a7d-4891-9532-884a199e06d1"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my.aidaform.com/form/3a5cmgm00x8/response/ab731e70-b253-44e4-8c18-cc07d46a9e76" TargetMode="External"/><Relationship Id="rId22" Type="http://schemas.openxmlformats.org/officeDocument/2006/relationships/hyperlink" Target="https://my.aidaform.com/form/3a5cmgm00x8/response/e9f0d19d-e94a-4a22-8935-a5651cda4bc8" TargetMode="External"/><Relationship Id="rId21" Type="http://schemas.openxmlformats.org/officeDocument/2006/relationships/hyperlink" Target="https://my.aidaform.com/form/3a5cmgm00x8/response/66e2c6dc-4061-4fa7-900a-23479a9ef7df" TargetMode="External"/><Relationship Id="rId24" Type="http://schemas.openxmlformats.org/officeDocument/2006/relationships/hyperlink" Target="https://my.aidaform.com/form/3a5cmgm00x8/response/1337a3c5-d8e9-49d9-9853-acf957c61718" TargetMode="External"/><Relationship Id="rId23" Type="http://schemas.openxmlformats.org/officeDocument/2006/relationships/hyperlink" Target="https://my.aidaform.com/form/3a5cmgm00x8/response/feef56a4-4422-4e74-8914-be83cae02200" TargetMode="External"/><Relationship Id="rId26" Type="http://schemas.openxmlformats.org/officeDocument/2006/relationships/drawing" Target="../drawings/drawing6.xml"/><Relationship Id="rId25" Type="http://schemas.openxmlformats.org/officeDocument/2006/relationships/hyperlink" Target="https://my.aidaform.com/form/3a5cmgm00x8/response/e25e1179-706b-4487-9b06-93d7ed91ce0b" TargetMode="External"/><Relationship Id="rId11" Type="http://schemas.openxmlformats.org/officeDocument/2006/relationships/hyperlink" Target="https://my.aidaform.com/form/3a5cmgm00x8/response/070ee318-98be-4d0a-a22d-8364fd81212d" TargetMode="External"/><Relationship Id="rId10" Type="http://schemas.openxmlformats.org/officeDocument/2006/relationships/hyperlink" Target="https://my.aidaform.com/form/3a5cmgm00x8/response/c7a9e5d1-812d-4a1c-8821-b26185361e9c" TargetMode="External"/><Relationship Id="rId13" Type="http://schemas.openxmlformats.org/officeDocument/2006/relationships/hyperlink" Target="https://my.aidaform.com/form/3a5cmgm00x8/response/2c5b858b-343b-4df2-ac2e-a3038d4fbe92" TargetMode="External"/><Relationship Id="rId12" Type="http://schemas.openxmlformats.org/officeDocument/2006/relationships/hyperlink" Target="https://my.aidaform.com/form/3a5cmgm00x8/response/64d2cdb7-b16e-487b-8eef-1a11df79d40a" TargetMode="External"/><Relationship Id="rId15" Type="http://schemas.openxmlformats.org/officeDocument/2006/relationships/hyperlink" Target="https://my.aidaform.com/form/3a5cmgm00x8/response/6e37249a-5492-4332-a287-7b88c505c707" TargetMode="External"/><Relationship Id="rId14" Type="http://schemas.openxmlformats.org/officeDocument/2006/relationships/hyperlink" Target="https://my.aidaform.com/form/3a5cmgm00x8/response/16c9f03b-bc8c-4bcc-93d2-366489b9fa92" TargetMode="External"/><Relationship Id="rId17" Type="http://schemas.openxmlformats.org/officeDocument/2006/relationships/hyperlink" Target="https://my.aidaform.com/form/3a5cmgm00x8/response/9fc29cf7-3180-4aea-940e-3d91c23aa400" TargetMode="External"/><Relationship Id="rId16" Type="http://schemas.openxmlformats.org/officeDocument/2006/relationships/hyperlink" Target="https://my.aidaform.com/form/3a5cmgm00x8/response/2dd944c3-a117-43ef-a50d-868b21d9334d" TargetMode="External"/><Relationship Id="rId19" Type="http://schemas.openxmlformats.org/officeDocument/2006/relationships/hyperlink" Target="https://my.aidaform.com/form/3a5cmgm00x8/response/6cd38b0f-a836-4f64-ad1e-894a62ffdc9b" TargetMode="External"/><Relationship Id="rId18" Type="http://schemas.openxmlformats.org/officeDocument/2006/relationships/hyperlink" Target="https://my.aidaform.com/form/3a5cmgm00x8/response/a5e09064-1380-43ed-a3ad-7fe33ff8b704" TargetMode="External"/><Relationship Id="rId1" Type="http://schemas.openxmlformats.org/officeDocument/2006/relationships/hyperlink" Target="https://my.aidaform.com/form/3a5cmgm00x8/response/34a9f76a-0399-478e-acd1-54874f8bddc8" TargetMode="External"/><Relationship Id="rId2" Type="http://schemas.openxmlformats.org/officeDocument/2006/relationships/hyperlink" Target="https://my.aidaform.com/form/3a5cmgm00x8/response/6dc6bddb-45f7-4d1a-966c-0793744813c5" TargetMode="External"/><Relationship Id="rId3" Type="http://schemas.openxmlformats.org/officeDocument/2006/relationships/hyperlink" Target="https://my.aidaform.com/form/3a5cmgm00x8/response/6535bd4d-7dfd-401a-85d6-0271d265ad97" TargetMode="External"/><Relationship Id="rId4" Type="http://schemas.openxmlformats.org/officeDocument/2006/relationships/hyperlink" Target="https://my.aidaform.com/form/3a5cmgm00x8/response/c736ad38-1fb2-4464-9aa6-3031b8aae46e" TargetMode="External"/><Relationship Id="rId9" Type="http://schemas.openxmlformats.org/officeDocument/2006/relationships/hyperlink" Target="https://my.aidaform.com/form/3a5cmgm00x8/response/3fc5abef-71ea-4db0-82ab-3730f1d47c15" TargetMode="External"/><Relationship Id="rId5" Type="http://schemas.openxmlformats.org/officeDocument/2006/relationships/hyperlink" Target="https://my.aidaform.com/form/3a5cmgm00x8/response/f5eee282-1f72-4d47-8c0e-d13eef2bbaad" TargetMode="External"/><Relationship Id="rId6" Type="http://schemas.openxmlformats.org/officeDocument/2006/relationships/hyperlink" Target="https://my.aidaform.com/form/3a5cmgm00x8/response/fe2e5037-c18e-48bb-bda5-fffd04a052bf" TargetMode="External"/><Relationship Id="rId7" Type="http://schemas.openxmlformats.org/officeDocument/2006/relationships/hyperlink" Target="https://my.aidaform.com/form/3a5cmgm00x8/response/c3318535-a108-4715-8b45-bdd147bc3b0d" TargetMode="External"/><Relationship Id="rId8" Type="http://schemas.openxmlformats.org/officeDocument/2006/relationships/hyperlink" Target="https://my.aidaform.com/form/3a5cmgm00x8/response/3d5bbd64-14d3-474f-aed0-e7d6fb9fa44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y.aidaform.com/form/3a5cmgm00x8/response/70711d03-5afa-453a-b0b3-e41297c522d2" TargetMode="External"/><Relationship Id="rId2" Type="http://schemas.openxmlformats.org/officeDocument/2006/relationships/hyperlink" Target="https://my.aidaform.com/form/3a5cmgm00x8/response/eb95ff47-701e-4331-a652-1b4a8679cd46" TargetMode="External"/><Relationship Id="rId3" Type="http://schemas.openxmlformats.org/officeDocument/2006/relationships/hyperlink" Target="https://my.aidaform.com/form/3a5cmgm00x8/response/fefb6fe0-3339-438b-a8c5-80f81b9e1ae0" TargetMode="External"/><Relationship Id="rId4" Type="http://schemas.openxmlformats.org/officeDocument/2006/relationships/hyperlink" Target="https://my.aidaform.com/form/3a5cmgm00x8/response/86b08722-56b7-4631-a3f0-4e18122ba85b" TargetMode="External"/><Relationship Id="rId9" Type="http://schemas.openxmlformats.org/officeDocument/2006/relationships/drawing" Target="../drawings/drawing7.xml"/><Relationship Id="rId5" Type="http://schemas.openxmlformats.org/officeDocument/2006/relationships/hyperlink" Target="https://my.aidaform.com/form/3a5cmgm00x8/response/5979d563-710e-4b3f-b459-300621bd8d99" TargetMode="External"/><Relationship Id="rId6" Type="http://schemas.openxmlformats.org/officeDocument/2006/relationships/hyperlink" Target="https://my.aidaform.com/form/3a5cmgm00x8/response/cc69f275-149e-491c-b5ac-265df452703e" TargetMode="External"/><Relationship Id="rId7" Type="http://schemas.openxmlformats.org/officeDocument/2006/relationships/hyperlink" Target="https://my.aidaform.com/form/3a5cmgm00x8/response/418e21a2-120d-4192-8061-899ac1e44198" TargetMode="External"/><Relationship Id="rId8" Type="http://schemas.openxmlformats.org/officeDocument/2006/relationships/hyperlink" Target="https://my.aidaform.com/form/3a5cmgm00x8/response/ddd3b18a-7762-41c2-8fed-59d6f65dbc5a"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my.aidaform.com/form/3a5cmgm00x8/response/342a5464-cbd9-44ef-90f3-36bc9a512674" TargetMode="External"/><Relationship Id="rId10" Type="http://schemas.openxmlformats.org/officeDocument/2006/relationships/hyperlink" Target="https://my.aidaform.com/form/3a5cmgm00x8/response/dc19cb1a-23fe-4278-b4ec-b5ed4f221a1b" TargetMode="External"/><Relationship Id="rId13" Type="http://schemas.openxmlformats.org/officeDocument/2006/relationships/hyperlink" Target="https://my.aidaform.com/form/3a5cmgm00x8/response/188f3974-24a1-47f0-a14f-7541bd4a5b94" TargetMode="External"/><Relationship Id="rId12" Type="http://schemas.openxmlformats.org/officeDocument/2006/relationships/hyperlink" Target="https://my.aidaform.com/form/3a5cmgm00x8/response/08b225f1-92c5-4126-95d9-13b77dc5bef5" TargetMode="External"/><Relationship Id="rId15" Type="http://schemas.openxmlformats.org/officeDocument/2006/relationships/hyperlink" Target="https://my.aidaform.com/form/3a5cmgm00x8/response/6c52ec0c-c038-427d-906d-9fffd5533655" TargetMode="External"/><Relationship Id="rId14" Type="http://schemas.openxmlformats.org/officeDocument/2006/relationships/hyperlink" Target="https://my.aidaform.com/form/3a5cmgm00x8/response/13e0f485-9566-4d9b-a0bc-03a01946bff2" TargetMode="External"/><Relationship Id="rId16" Type="http://schemas.openxmlformats.org/officeDocument/2006/relationships/drawing" Target="../drawings/drawing8.xml"/><Relationship Id="rId1" Type="http://schemas.openxmlformats.org/officeDocument/2006/relationships/hyperlink" Target="https://my.aidaform.com/form/3a5cmgm00x8/response/0bc99b0a-c4be-4242-8e0d-3697fd4773e8" TargetMode="External"/><Relationship Id="rId2" Type="http://schemas.openxmlformats.org/officeDocument/2006/relationships/hyperlink" Target="https://my.aidaform.com/form/3a5cmgm00x8/response/da8ca3b1-7325-42eb-ab23-e82d48cbb6f0" TargetMode="External"/><Relationship Id="rId3" Type="http://schemas.openxmlformats.org/officeDocument/2006/relationships/hyperlink" Target="https://my.aidaform.com/form/3a5cmgm00x8/response/86ac03bc-0ffc-461d-9258-ae593bd94f2d" TargetMode="External"/><Relationship Id="rId4" Type="http://schemas.openxmlformats.org/officeDocument/2006/relationships/hyperlink" Target="https://my.aidaform.com/form/3a5cmgm00x8/response/8738e1c2-a291-46ed-a28e-fd677013505a" TargetMode="External"/><Relationship Id="rId9" Type="http://schemas.openxmlformats.org/officeDocument/2006/relationships/hyperlink" Target="https://my.aidaform.com/form/3a5cmgm00x8/response/d2449818-e5c5-4726-a232-7025145096c9" TargetMode="External"/><Relationship Id="rId5" Type="http://schemas.openxmlformats.org/officeDocument/2006/relationships/hyperlink" Target="https://my.aidaform.com/form/3a5cmgm00x8/response/0bfc92c0-e815-4cde-98ad-2656788b3b47" TargetMode="External"/><Relationship Id="rId6" Type="http://schemas.openxmlformats.org/officeDocument/2006/relationships/hyperlink" Target="https://my.aidaform.com/form/3a5cmgm00x8/response/e3d0f3e3-97e1-463e-b186-103d8fba7235" TargetMode="External"/><Relationship Id="rId7" Type="http://schemas.openxmlformats.org/officeDocument/2006/relationships/hyperlink" Target="https://my.aidaform.com/form/3a5cmgm00x8/response/9340241a-47f7-4173-9849-cad87e9964dd" TargetMode="External"/><Relationship Id="rId8" Type="http://schemas.openxmlformats.org/officeDocument/2006/relationships/hyperlink" Target="https://my.aidaform.com/form/3a5cmgm00x8/response/e5257c27-4221-408d-a2b0-10ba495881a6"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msuiit.edu.ph/" TargetMode="External"/><Relationship Id="rId190" Type="http://schemas.openxmlformats.org/officeDocument/2006/relationships/hyperlink" Target="http://linkedin.com/in/mihaela-istim-b4102a250" TargetMode="External"/><Relationship Id="rId42" Type="http://schemas.openxmlformats.org/officeDocument/2006/relationships/hyperlink" Target="https://www.facebook.com/akkerushi/" TargetMode="External"/><Relationship Id="rId41" Type="http://schemas.openxmlformats.org/officeDocument/2006/relationships/hyperlink" Target="https://www.linkedin.com/in/akkerushi/" TargetMode="External"/><Relationship Id="rId44" Type="http://schemas.openxmlformats.org/officeDocument/2006/relationships/hyperlink" Target="https://www.linkedin.com/in/yuliia-sychinska-758a1239a?utm_source=share&amp;utm_campaign=share_via&amp;utm_content=profile&amp;utm_medium=ios_app" TargetMode="External"/><Relationship Id="rId194" Type="http://schemas.openxmlformats.org/officeDocument/2006/relationships/hyperlink" Target="https://baonghean.vn" TargetMode="External"/><Relationship Id="rId43" Type="http://schemas.openxmlformats.org/officeDocument/2006/relationships/hyperlink" Target="https://ieeemalta.org" TargetMode="External"/><Relationship Id="rId193" Type="http://schemas.openxmlformats.org/officeDocument/2006/relationships/hyperlink" Target="https://www.beachbunchbrunei.com/" TargetMode="External"/><Relationship Id="rId46" Type="http://schemas.openxmlformats.org/officeDocument/2006/relationships/hyperlink" Target="https://www.facebook.com/share/14enQADQN3F/?mibextid=wwXIfr" TargetMode="External"/><Relationship Id="rId192" Type="http://schemas.openxmlformats.org/officeDocument/2006/relationships/hyperlink" Target="https://www.linkedin.com/in/amir-hamzah-gafur/" TargetMode="External"/><Relationship Id="rId45" Type="http://schemas.openxmlformats.org/officeDocument/2006/relationships/hyperlink" Target="https://www.instagram.com/sychinsska?igsh=Zm00aGQyNW8zM25l&amp;utm_source=qr" TargetMode="External"/><Relationship Id="rId191" Type="http://schemas.openxmlformats.org/officeDocument/2006/relationships/hyperlink" Target="https://europedirectbucuresti.ier.gov.ro/" TargetMode="External"/><Relationship Id="rId48" Type="http://schemas.openxmlformats.org/officeDocument/2006/relationships/hyperlink" Target="https://www.instagram.com/yis.indonesia/?hl=en" TargetMode="External"/><Relationship Id="rId187" Type="http://schemas.openxmlformats.org/officeDocument/2006/relationships/hyperlink" Target="https://high1.com" TargetMode="External"/><Relationship Id="rId47" Type="http://schemas.openxmlformats.org/officeDocument/2006/relationships/hyperlink" Target="https://nl.linkedin.com/in/ayuandasekarmelati" TargetMode="External"/><Relationship Id="rId186" Type="http://schemas.openxmlformats.org/officeDocument/2006/relationships/hyperlink" Target="https://idp-ielts.kz/idpinternship2025" TargetMode="External"/><Relationship Id="rId185" Type="http://schemas.openxmlformats.org/officeDocument/2006/relationships/hyperlink" Target="https://www.linkedin.com/in/nur-ai-93bb20403?utm_source=share_via&amp;utm_content=profile&amp;utm_medium=member_ios" TargetMode="External"/><Relationship Id="rId49" Type="http://schemas.openxmlformats.org/officeDocument/2006/relationships/hyperlink" Target="https://www.instagram.com/invites/contact/?utm_source=ig_contact_invite&amp;utm_medium=copy_link&amp;utm_content=7ibo3ue" TargetMode="External"/><Relationship Id="rId184" Type="http://schemas.openxmlformats.org/officeDocument/2006/relationships/hyperlink" Target="https://www.humanappeal.org.au/" TargetMode="External"/><Relationship Id="rId189" Type="http://schemas.openxmlformats.org/officeDocument/2006/relationships/hyperlink" Target="https://www.qaws.org/newsite/" TargetMode="External"/><Relationship Id="rId188" Type="http://schemas.openxmlformats.org/officeDocument/2006/relationships/hyperlink" Target="https://cwm.org.pl/" TargetMode="External"/><Relationship Id="rId31" Type="http://schemas.openxmlformats.org/officeDocument/2006/relationships/hyperlink" Target="https://thenomads.vn/" TargetMode="External"/><Relationship Id="rId30" Type="http://schemas.openxmlformats.org/officeDocument/2006/relationships/hyperlink" Target="https://yeenet.eu" TargetMode="External"/><Relationship Id="rId33" Type="http://schemas.openxmlformats.org/officeDocument/2006/relationships/hyperlink" Target="https://www.instagram.com/muhu_med/" TargetMode="External"/><Relationship Id="rId183" Type="http://schemas.openxmlformats.org/officeDocument/2006/relationships/hyperlink" Target="https://hartslagnu.nl" TargetMode="External"/><Relationship Id="rId32" Type="http://schemas.openxmlformats.org/officeDocument/2006/relationships/hyperlink" Target="https://www.linkedin.com/in/muhumedsalah01/" TargetMode="External"/><Relationship Id="rId182" Type="http://schemas.openxmlformats.org/officeDocument/2006/relationships/hyperlink" Target="https://www.linkedin.com/in/mats-borgen-325586203/" TargetMode="External"/><Relationship Id="rId35" Type="http://schemas.openxmlformats.org/officeDocument/2006/relationships/hyperlink" Target="https://pal-arc.org/en/" TargetMode="External"/><Relationship Id="rId181" Type="http://schemas.openxmlformats.org/officeDocument/2006/relationships/hyperlink" Target="https://www.un.org/en/authors-og-936/unic-tehran" TargetMode="External"/><Relationship Id="rId34" Type="http://schemas.openxmlformats.org/officeDocument/2006/relationships/hyperlink" Target="https://resala.org/" TargetMode="External"/><Relationship Id="rId180" Type="http://schemas.openxmlformats.org/officeDocument/2006/relationships/hyperlink" Target="https://unityyardimvakfi.org/index.php?lang=tr" TargetMode="External"/><Relationship Id="rId37" Type="http://schemas.openxmlformats.org/officeDocument/2006/relationships/hyperlink" Target="https://www.linkedin.com/in/devindrappa-m-31326a114/" TargetMode="External"/><Relationship Id="rId176" Type="http://schemas.openxmlformats.org/officeDocument/2006/relationships/hyperlink" Target="https://www.linkedin.com/in/darya-gorbulicheva/" TargetMode="External"/><Relationship Id="rId36" Type="http://schemas.openxmlformats.org/officeDocument/2006/relationships/hyperlink" Target="https://www.instagram.com/juz40.eng?igsh=MXY3cXJwODVrYmtvNA==" TargetMode="External"/><Relationship Id="rId175" Type="http://schemas.openxmlformats.org/officeDocument/2006/relationships/hyperlink" Target="https://fodern.org/" TargetMode="External"/><Relationship Id="rId39" Type="http://schemas.openxmlformats.org/officeDocument/2006/relationships/hyperlink" Target="https://www.linkedin.com/in/johnlenon-aliser-460083366/" TargetMode="External"/><Relationship Id="rId174" Type="http://schemas.openxmlformats.org/officeDocument/2006/relationships/hyperlink" Target="https://www.instagram.com/_yazan_26?igsh=ZXlhaW5qZXJ6NXM2&amp;utm_source=qr" TargetMode="External"/><Relationship Id="rId38" Type="http://schemas.openxmlformats.org/officeDocument/2006/relationships/hyperlink" Target="https://www.facebook.com/devu.nayak.3/" TargetMode="External"/><Relationship Id="rId173" Type="http://schemas.openxmlformats.org/officeDocument/2006/relationships/hyperlink" Target="https://fodern.org/" TargetMode="External"/><Relationship Id="rId179" Type="http://schemas.openxmlformats.org/officeDocument/2006/relationships/hyperlink" Target="https://www.facebook.com/share/14gSSwm6BGu/?mibextid=wwXIfr" TargetMode="External"/><Relationship Id="rId178" Type="http://schemas.openxmlformats.org/officeDocument/2006/relationships/hyperlink" Target="https://www.instagram.com/mahmoud198500?igsh=MWRmOTkxeGt1cG02aQ%3D%3D&amp;utm_source=qr" TargetMode="External"/><Relationship Id="rId177" Type="http://schemas.openxmlformats.org/officeDocument/2006/relationships/hyperlink" Target="https://ashyqjurek.kz/" TargetMode="External"/><Relationship Id="rId20" Type="http://schemas.openxmlformats.org/officeDocument/2006/relationships/hyperlink" Target="https://www.linkedin.com/in/radia-chaoui-85268b220/?skipRedirect=true" TargetMode="External"/><Relationship Id="rId22" Type="http://schemas.openxmlformats.org/officeDocument/2006/relationships/hyperlink" Target="https://www.linkedin.com/in/isatou-joof-80058179/" TargetMode="External"/><Relationship Id="rId21" Type="http://schemas.openxmlformats.org/officeDocument/2006/relationships/hyperlink" Target="https://www.linkedin.com/in/nizar-akil-9a60488b" TargetMode="External"/><Relationship Id="rId24" Type="http://schemas.openxmlformats.org/officeDocument/2006/relationships/hyperlink" Target="https://otrlistens.net" TargetMode="External"/><Relationship Id="rId23" Type="http://schemas.openxmlformats.org/officeDocument/2006/relationships/hyperlink" Target="https://www.linkedin.com/in/velda-wong/" TargetMode="External"/><Relationship Id="rId26" Type="http://schemas.openxmlformats.org/officeDocument/2006/relationships/hyperlink" Target="https://www.linkedin.com/in/abdelaliyounes?utm_source=share_via&amp;utm_content=profile&amp;utm_medium=member_ios" TargetMode="External"/><Relationship Id="rId25" Type="http://schemas.openxmlformats.org/officeDocument/2006/relationships/hyperlink" Target="https://rceger.rotaryd1911.hu" TargetMode="External"/><Relationship Id="rId28" Type="http://schemas.openxmlformats.org/officeDocument/2006/relationships/hyperlink" Target="https://www.facebook.com/share/1TD3rwso4P/?mibextid=wwXIfr" TargetMode="External"/><Relationship Id="rId27" Type="http://schemas.openxmlformats.org/officeDocument/2006/relationships/hyperlink" Target="https://www.instagram.com/abadi.mahmoud008?igsh=eTd4cHJuczRyN3Ax&amp;utm_source=qr" TargetMode="External"/><Relationship Id="rId29" Type="http://schemas.openxmlformats.org/officeDocument/2006/relationships/hyperlink" Target="https://www.linkedin.com/in/%C5%9Fevval-alptekin00/" TargetMode="External"/><Relationship Id="rId11" Type="http://schemas.openxmlformats.org/officeDocument/2006/relationships/hyperlink" Target="https://www.facebook.com/share/19zrPJ5oKP/?mibextid=wwXIfr" TargetMode="External"/><Relationship Id="rId10" Type="http://schemas.openxmlformats.org/officeDocument/2006/relationships/hyperlink" Target="https://www.instagram.com/chotay_jdb?igsh=dnE1MHA1czlqZG56&amp;utm_source=qr" TargetMode="External"/><Relationship Id="rId13" Type="http://schemas.openxmlformats.org/officeDocument/2006/relationships/hyperlink" Target="https://www.instagram.com/aapka.advocate/" TargetMode="External"/><Relationship Id="rId12" Type="http://schemas.openxmlformats.org/officeDocument/2006/relationships/hyperlink" Target="https://www.linkedin.com/in/syed-abdullah-anwer-advocate-high-court-fciarb-uk-llm-03731a18a/" TargetMode="External"/><Relationship Id="rId15" Type="http://schemas.openxmlformats.org/officeDocument/2006/relationships/hyperlink" Target="https://pakaid.org.pk/" TargetMode="External"/><Relationship Id="rId198" Type="http://schemas.openxmlformats.org/officeDocument/2006/relationships/hyperlink" Target="https://grantgo.uz/" TargetMode="External"/><Relationship Id="rId14" Type="http://schemas.openxmlformats.org/officeDocument/2006/relationships/hyperlink" Target="https://www.facebook.com/abdullah.anwer.54/" TargetMode="External"/><Relationship Id="rId197" Type="http://schemas.openxmlformats.org/officeDocument/2006/relationships/hyperlink" Target="https://sbtsue" TargetMode="External"/><Relationship Id="rId17" Type="http://schemas.openxmlformats.org/officeDocument/2006/relationships/hyperlink" Target="http://www.linkedin.com/in/patricia-arthur-jim-030a53135" TargetMode="External"/><Relationship Id="rId196" Type="http://schemas.openxmlformats.org/officeDocument/2006/relationships/hyperlink" Target="https://www.oxfam.org/en" TargetMode="External"/><Relationship Id="rId16" Type="http://schemas.openxmlformats.org/officeDocument/2006/relationships/hyperlink" Target="https://alhijrah.org" TargetMode="External"/><Relationship Id="rId195" Type="http://schemas.openxmlformats.org/officeDocument/2006/relationships/hyperlink" Target="https://www.facebook.com/share/1EAcL8Ao73/" TargetMode="External"/><Relationship Id="rId19" Type="http://schemas.openxmlformats.org/officeDocument/2006/relationships/hyperlink" Target="https://www.facebook.com/share/1DmfbMyPfA/" TargetMode="External"/><Relationship Id="rId18" Type="http://schemas.openxmlformats.org/officeDocument/2006/relationships/hyperlink" Target="https://www.instagram.com/ms.jarts?igsh=NDFoODBtZWwzcmc2" TargetMode="External"/><Relationship Id="rId199" Type="http://schemas.openxmlformats.org/officeDocument/2006/relationships/hyperlink" Target="http://www.linkedin.com/in/mena-zewdu-mersha-648630280" TargetMode="External"/><Relationship Id="rId84" Type="http://schemas.openxmlformats.org/officeDocument/2006/relationships/hyperlink" Target="https://linktr.ee/wethechangeind?utm_source=ig&amp;utm_medium=social&amp;utm_content=link_in_bio&amp;fbclid=PAZXh0bgNhZW0CMTEAc3J0YwZhcHBfaWQPOTM2NjE5NzQzMzkyNDU5AAGnQj4MadqWlRg7E5O4zly4WY6knd2dRjVTn4viqI7mF2W468VXTSaD4NMp-Bo_aem_78UvOM_p0tsC5QGRKOI4Lg" TargetMode="External"/><Relationship Id="rId83" Type="http://schemas.openxmlformats.org/officeDocument/2006/relationships/hyperlink" Target="https://www.facebook.com/profile.php?id=100080145196615" TargetMode="External"/><Relationship Id="rId86" Type="http://schemas.openxmlformats.org/officeDocument/2006/relationships/hyperlink" Target="https://www.instagram.com/fprithi/?hl=en" TargetMode="External"/><Relationship Id="rId85" Type="http://schemas.openxmlformats.org/officeDocument/2006/relationships/hyperlink" Target="https://www.linkedin.com/in/fahmida-alam-8780a31ba/" TargetMode="External"/><Relationship Id="rId88" Type="http://schemas.openxmlformats.org/officeDocument/2006/relationships/hyperlink" Target="https://www.activar.org/" TargetMode="External"/><Relationship Id="rId150" Type="http://schemas.openxmlformats.org/officeDocument/2006/relationships/hyperlink" Target="https://www.teachforindia.org/" TargetMode="External"/><Relationship Id="rId87" Type="http://schemas.openxmlformats.org/officeDocument/2006/relationships/hyperlink" Target="https://www.facebook.com/fahmimiaaa/" TargetMode="External"/><Relationship Id="rId89" Type="http://schemas.openxmlformats.org/officeDocument/2006/relationships/hyperlink" Target="https://n/A" TargetMode="External"/><Relationship Id="rId80" Type="http://schemas.openxmlformats.org/officeDocument/2006/relationships/hyperlink" Target="https://www.bdu.edu.et" TargetMode="External"/><Relationship Id="rId82" Type="http://schemas.openxmlformats.org/officeDocument/2006/relationships/hyperlink" Target="https://www.instagram.com/safiaraoof?igsh=MWc5bmV0dW44NXMxYQ%3D%3D&amp;utm_source=qr" TargetMode="External"/><Relationship Id="rId81" Type="http://schemas.openxmlformats.org/officeDocument/2006/relationships/hyperlink" Target="https://www.linkedin.com/in/safia-r-3b745a326?utm_source=share_via&amp;utm_content=profile&amp;utm_medium=member_ios" TargetMode="External"/><Relationship Id="rId1" Type="http://schemas.openxmlformats.org/officeDocument/2006/relationships/hyperlink" Target="https://www.instagram.com/salma.oz_" TargetMode="External"/><Relationship Id="rId2" Type="http://schemas.openxmlformats.org/officeDocument/2006/relationships/hyperlink" Target="https://aiesec.org.tr/" TargetMode="External"/><Relationship Id="rId3" Type="http://schemas.openxmlformats.org/officeDocument/2006/relationships/hyperlink" Target="https://www.linkedin.com/in/matthew-farrugia-88589115b/" TargetMode="External"/><Relationship Id="rId149" Type="http://schemas.openxmlformats.org/officeDocument/2006/relationships/hyperlink" Target="https://www.linkedin.com/in/diksha-ranjan-%EB%94%95%EC%83%A4-769335129?utm_source=share_via&amp;utm_content=profile&amp;utm_medium=member_ios" TargetMode="External"/><Relationship Id="rId4" Type="http://schemas.openxmlformats.org/officeDocument/2006/relationships/hyperlink" Target="https://www.instagram.com/_matthewfarrugia_/" TargetMode="External"/><Relationship Id="rId148" Type="http://schemas.openxmlformats.org/officeDocument/2006/relationships/hyperlink" Target="https://www.facebook.com/asdushanbe" TargetMode="External"/><Relationship Id="rId9" Type="http://schemas.openxmlformats.org/officeDocument/2006/relationships/hyperlink" Target="https://www.linkedin.com/in/junior-grace-kevine-doumbou-de-barro-0306751a9?utm_source=share_via&amp;utm_content=profile&amp;utm_medium=member_ios" TargetMode="External"/><Relationship Id="rId143" Type="http://schemas.openxmlformats.org/officeDocument/2006/relationships/hyperlink" Target="https://www.instagram.com/tala_khaled_abuzaid_06?igsh=YTBlMzRra2tkNTE0&amp;utm_source=qr" TargetMode="External"/><Relationship Id="rId142" Type="http://schemas.openxmlformats.org/officeDocument/2006/relationships/hyperlink" Target="https://www.linkedin.com/in/tala-abuzaid-123689362?utm_source=share_via&amp;utm_content=profile&amp;utm_medium=member_ios" TargetMode="External"/><Relationship Id="rId141" Type="http://schemas.openxmlformats.org/officeDocument/2006/relationships/hyperlink" Target="https://www.facebook.com/share/192iSjhhLq/?mibextid=wwXIfr" TargetMode="External"/><Relationship Id="rId140" Type="http://schemas.openxmlformats.org/officeDocument/2006/relationships/hyperlink" Target="https://www.facebook.com/share/192iSjhhLq/?mibextid=wwXIfr" TargetMode="External"/><Relationship Id="rId5" Type="http://schemas.openxmlformats.org/officeDocument/2006/relationships/hyperlink" Target="https://www.facebook.com/matthew.farrugia.3994" TargetMode="External"/><Relationship Id="rId147" Type="http://schemas.openxmlformats.org/officeDocument/2006/relationships/hyperlink" Target="https://www.instagram.com/salimov__u__?igsh=MWo5N3Z1amc4eDhzbg%3D%3D&amp;utm_source=qr" TargetMode="External"/><Relationship Id="rId6" Type="http://schemas.openxmlformats.org/officeDocument/2006/relationships/hyperlink" Target="http://www.muya.info" TargetMode="External"/><Relationship Id="rId146" Type="http://schemas.openxmlformats.org/officeDocument/2006/relationships/hyperlink" Target="https://www.linkedin.com/in/umar-salimov-848a0a382?utm_source=share_via&amp;utm_content=profile&amp;utm_medium=member_ios" TargetMode="External"/><Relationship Id="rId7" Type="http://schemas.openxmlformats.org/officeDocument/2006/relationships/hyperlink" Target="https://robinhoodarmy.com" TargetMode="External"/><Relationship Id="rId145" Type="http://schemas.openxmlformats.org/officeDocument/2006/relationships/hyperlink" Target="https://www.ieee.org" TargetMode="External"/><Relationship Id="rId8" Type="http://schemas.openxmlformats.org/officeDocument/2006/relationships/hyperlink" Target="https://www.instagram.com/salma.oz_" TargetMode="External"/><Relationship Id="rId144" Type="http://schemas.openxmlformats.org/officeDocument/2006/relationships/hyperlink" Target="https://www.facebook.com/share/1H8UENDyGD/?mibextid=wwXIfr" TargetMode="External"/><Relationship Id="rId73" Type="http://schemas.openxmlformats.org/officeDocument/2006/relationships/hyperlink" Target="https://www.linkedin.com/in/aras-alshikhane-32bb27193?utm_source=share_via&amp;utm_content=profile&amp;utm_medium=member_ios" TargetMode="External"/><Relationship Id="rId72" Type="http://schemas.openxmlformats.org/officeDocument/2006/relationships/hyperlink" Target="https://www.tieedi.in" TargetMode="External"/><Relationship Id="rId75" Type="http://schemas.openxmlformats.org/officeDocument/2006/relationships/hyperlink" Target="https://www.facebook.com/share/18irUpiaZX/?mibextid=wwXIfr" TargetMode="External"/><Relationship Id="rId74" Type="http://schemas.openxmlformats.org/officeDocument/2006/relationships/hyperlink" Target="https://www.instagram.com/draras.s?igsh=bG4zZGF1cGJwZGxo&amp;utm_source=qr" TargetMode="External"/><Relationship Id="rId77" Type="http://schemas.openxmlformats.org/officeDocument/2006/relationships/hyperlink" Target="https://www.linkedin.com/in/victoria-agbondimwin/" TargetMode="External"/><Relationship Id="rId260" Type="http://schemas.openxmlformats.org/officeDocument/2006/relationships/drawing" Target="../drawings/drawing15.xml"/><Relationship Id="rId76" Type="http://schemas.openxmlformats.org/officeDocument/2006/relationships/hyperlink" Target="https://www.undp.org" TargetMode="External"/><Relationship Id="rId79" Type="http://schemas.openxmlformats.org/officeDocument/2006/relationships/hyperlink" Target="http://opportunitiescorners.com" TargetMode="External"/><Relationship Id="rId78" Type="http://schemas.openxmlformats.org/officeDocument/2006/relationships/hyperlink" Target="https://n/A" TargetMode="External"/><Relationship Id="rId71" Type="http://schemas.openxmlformats.org/officeDocument/2006/relationships/hyperlink" Target="https://www.linkedin.com" TargetMode="External"/><Relationship Id="rId70" Type="http://schemas.openxmlformats.org/officeDocument/2006/relationships/hyperlink" Target="https://www.thecscd.org" TargetMode="External"/><Relationship Id="rId139" Type="http://schemas.openxmlformats.org/officeDocument/2006/relationships/hyperlink" Target="https://www.linkedin.com/in/shehzeen-bakhsh-malik-419b46129?utm_source=share_via&amp;utm_content=profile&amp;utm_medium=member_ios" TargetMode="External"/><Relationship Id="rId138" Type="http://schemas.openxmlformats.org/officeDocument/2006/relationships/hyperlink" Target="https://www.instagram.com/bss_sc/" TargetMode="External"/><Relationship Id="rId259" Type="http://schemas.openxmlformats.org/officeDocument/2006/relationships/hyperlink" Target="https://n/A" TargetMode="External"/><Relationship Id="rId137" Type="http://schemas.openxmlformats.org/officeDocument/2006/relationships/hyperlink" Target="https://unvolunteers.exposure.co/disability-isnt-the-problem-the-barrier-is" TargetMode="External"/><Relationship Id="rId258" Type="http://schemas.openxmlformats.org/officeDocument/2006/relationships/hyperlink" Target="https://www.facebook.com/share/1ZcsosnUxe/" TargetMode="External"/><Relationship Id="rId132" Type="http://schemas.openxmlformats.org/officeDocument/2006/relationships/hyperlink" Target="https://www.linkedin.com/in/paulineblanchet/" TargetMode="External"/><Relationship Id="rId253" Type="http://schemas.openxmlformats.org/officeDocument/2006/relationships/hyperlink" Target="https://aiesec.org" TargetMode="External"/><Relationship Id="rId131" Type="http://schemas.openxmlformats.org/officeDocument/2006/relationships/hyperlink" Target="https://www.le-lycee-national.edu.lb/" TargetMode="External"/><Relationship Id="rId252" Type="http://schemas.openxmlformats.org/officeDocument/2006/relationships/hyperlink" Target="https://www.linkedin.com/in/katsiaryna-zhukovich/" TargetMode="External"/><Relationship Id="rId130" Type="http://schemas.openxmlformats.org/officeDocument/2006/relationships/hyperlink" Target="https://www.instagram.com/jadsandaklii" TargetMode="External"/><Relationship Id="rId251" Type="http://schemas.openxmlformats.org/officeDocument/2006/relationships/hyperlink" Target="https://www.xylem.com/en-us/" TargetMode="External"/><Relationship Id="rId250" Type="http://schemas.openxmlformats.org/officeDocument/2006/relationships/hyperlink" Target="https://www.instagram.com/maarijshamim/" TargetMode="External"/><Relationship Id="rId136" Type="http://schemas.openxmlformats.org/officeDocument/2006/relationships/hyperlink" Target="https://www.facebook.com/shahodat.yoldosheva" TargetMode="External"/><Relationship Id="rId257" Type="http://schemas.openxmlformats.org/officeDocument/2006/relationships/hyperlink" Target="https://www.instagram.com/justicekisha1?igsh=MTdoY2RrdDkwc3FxNA==" TargetMode="External"/><Relationship Id="rId135" Type="http://schemas.openxmlformats.org/officeDocument/2006/relationships/hyperlink" Target="https://www.instagram.com/shahodat_yoldosheva/" TargetMode="External"/><Relationship Id="rId256" Type="http://schemas.openxmlformats.org/officeDocument/2006/relationships/hyperlink" Target="https://www.linkedin.com/in/antonia-n-b4399a106?utm_source=share_via&amp;utm_content=profile&amp;utm_medium=member_android" TargetMode="External"/><Relationship Id="rId134" Type="http://schemas.openxmlformats.org/officeDocument/2006/relationships/hyperlink" Target="https://www.linkedin.com/in/shahodat-yo-ldosheva-453145278/?lipi=urn%3Ali%3Apage%3Ad_flagship3_profile_view_base_contact_details%3Bz0VZvS1FRoCVnUkY5T6K4w%3D%3D" TargetMode="External"/><Relationship Id="rId255" Type="http://schemas.openxmlformats.org/officeDocument/2006/relationships/hyperlink" Target="http://www.linkedin.com/in/maroua-bensfia-khiyat-b4a092374" TargetMode="External"/><Relationship Id="rId133" Type="http://schemas.openxmlformats.org/officeDocument/2006/relationships/hyperlink" Target="https://www.unige.ch/medecine/humanitarianstudies" TargetMode="External"/><Relationship Id="rId254" Type="http://schemas.openxmlformats.org/officeDocument/2006/relationships/hyperlink" Target="https://pro-passionprojects.org" TargetMode="External"/><Relationship Id="rId62" Type="http://schemas.openxmlformats.org/officeDocument/2006/relationships/hyperlink" Target="https://www.facebook.com/share/17cFeE84Vp/?mibextid=wwXIfr" TargetMode="External"/><Relationship Id="rId61" Type="http://schemas.openxmlformats.org/officeDocument/2006/relationships/hyperlink" Target="https://www.instagram.com/ekleraq?igsh=eHA0emtuYmR3bm45&amp;utm_source=qr" TargetMode="External"/><Relationship Id="rId64" Type="http://schemas.openxmlformats.org/officeDocument/2006/relationships/hyperlink" Target="https://www.linkedin.com/in/shahram-jalal-607928377?utm_source=share&amp;utm_campaign=share_via&amp;utm_content=profile&amp;utm_medium=ios_app" TargetMode="External"/><Relationship Id="rId63" Type="http://schemas.openxmlformats.org/officeDocument/2006/relationships/hyperlink" Target="https://wioskisos.org/" TargetMode="External"/><Relationship Id="rId66" Type="http://schemas.openxmlformats.org/officeDocument/2006/relationships/hyperlink" Target="https://www.facebook.com/share/1BdMXkP1KK/?mibextid=wwXIfr" TargetMode="External"/><Relationship Id="rId172" Type="http://schemas.openxmlformats.org/officeDocument/2006/relationships/hyperlink" Target="https://www.instagram.com/azz_g_alnajjar?igsh=NGQzNzUwNmlvbDkw&amp;utm_source=qr" TargetMode="External"/><Relationship Id="rId65" Type="http://schemas.openxmlformats.org/officeDocument/2006/relationships/hyperlink" Target="https://www.instagram.com/shahram_jalal_gharib?igsh=dzd2MTQ0eWhicDE1&amp;utm_source=qr" TargetMode="External"/><Relationship Id="rId171" Type="http://schemas.openxmlformats.org/officeDocument/2006/relationships/hyperlink" Target="https://fodern.org/" TargetMode="External"/><Relationship Id="rId68" Type="http://schemas.openxmlformats.org/officeDocument/2006/relationships/hyperlink" Target="https://www.linkedin.com/in/ashbelle-hounhouedo-megande/" TargetMode="External"/><Relationship Id="rId170" Type="http://schemas.openxmlformats.org/officeDocument/2006/relationships/hyperlink" Target="https://www.instagram.com/shallah.12?igsh=N3ZpdGF5OWxjejY4" TargetMode="External"/><Relationship Id="rId67" Type="http://schemas.openxmlformats.org/officeDocument/2006/relationships/hyperlink" Target="https://www.facebook.com/share/18ZeY1m2Yh/?mibextid=wwXIfr" TargetMode="External"/><Relationship Id="rId60" Type="http://schemas.openxmlformats.org/officeDocument/2006/relationships/hyperlink" Target="https://www.linkedin.com/in/valeria-pober/" TargetMode="External"/><Relationship Id="rId165" Type="http://schemas.openxmlformats.org/officeDocument/2006/relationships/hyperlink" Target="https://www.instagram.com/m_areeb_?igsh=MTM2eGpob21jc3lxOA%3D%3D&amp;utm_source=qr" TargetMode="External"/><Relationship Id="rId69" Type="http://schemas.openxmlformats.org/officeDocument/2006/relationships/hyperlink" Target="https://sternaafrica.org/antenne.php?nom=C%C3%B4te+Ivoire" TargetMode="External"/><Relationship Id="rId164" Type="http://schemas.openxmlformats.org/officeDocument/2006/relationships/hyperlink" Target="https://www.linkedin.com/in/dr-muhammad-areeb-4699102ab?utm_source=share_via&amp;utm_content=profile&amp;utm_medium=member_ios" TargetMode="External"/><Relationship Id="rId163" Type="http://schemas.openxmlformats.org/officeDocument/2006/relationships/hyperlink" Target="https://theirworld.org/?gad_source=1&amp;gad_campaignid=15140875628&amp;gbraid=0AAAAADNt75GqGgwqzaggKlE2MnQsMq9JC&amp;gclid=CjwKCAjwgajSBhBEEiwASicJU_9I3R1Sl-OPe_vGu4M3RuGjoARro1D8hBVPlrSIcHvtf5Ni-VAhyxoCyZUQAvD_BwE" TargetMode="External"/><Relationship Id="rId162" Type="http://schemas.openxmlformats.org/officeDocument/2006/relationships/hyperlink" Target="http://www.linkedin.com/in/mawloda-55043b200" TargetMode="External"/><Relationship Id="rId169" Type="http://schemas.openxmlformats.org/officeDocument/2006/relationships/hyperlink" Target="https://www.instagram.com/anna_qarawani/" TargetMode="External"/><Relationship Id="rId168" Type="http://schemas.openxmlformats.org/officeDocument/2006/relationships/hyperlink" Target="https://afad.gov.tr" TargetMode="External"/><Relationship Id="rId167" Type="http://schemas.openxmlformats.org/officeDocument/2006/relationships/hyperlink" Target="https://www.linkedin.com/in/nabusweireh/" TargetMode="External"/><Relationship Id="rId166" Type="http://schemas.openxmlformats.org/officeDocument/2006/relationships/hyperlink" Target="https://hopes.org.pk/" TargetMode="External"/><Relationship Id="rId51" Type="http://schemas.openxmlformats.org/officeDocument/2006/relationships/hyperlink" Target="https://www.govserv.org/ZW/Harare/211695518699564/Zimbabwe-Youth-Council" TargetMode="External"/><Relationship Id="rId50" Type="http://schemas.openxmlformats.org/officeDocument/2006/relationships/hyperlink" Target="https://www.fb.com/l/6lp1kJRRR" TargetMode="External"/><Relationship Id="rId53" Type="http://schemas.openxmlformats.org/officeDocument/2006/relationships/hyperlink" Target="https://www.linkedin.com/in/itssdsharma/" TargetMode="External"/><Relationship Id="rId52" Type="http://schemas.openxmlformats.org/officeDocument/2006/relationships/hyperlink" Target="https://www.facebook.com/tanvir0997/" TargetMode="External"/><Relationship Id="rId55" Type="http://schemas.openxmlformats.org/officeDocument/2006/relationships/hyperlink" Target="https://www.instagram.com/aichka.999?igsh=MzUwMHkwcWhzOWRm&amp;utm_source=qr" TargetMode="External"/><Relationship Id="rId161" Type="http://schemas.openxmlformats.org/officeDocument/2006/relationships/hyperlink" Target="https://fimed.tr/ar" TargetMode="External"/><Relationship Id="rId54" Type="http://schemas.openxmlformats.org/officeDocument/2006/relationships/hyperlink" Target="https://www.linkedin.com/in/aigerim-sarsembayeva-83bb5a3ab?utm_source=share_via&amp;utm_content=profile&amp;utm_medium=member_ios" TargetMode="External"/><Relationship Id="rId160" Type="http://schemas.openxmlformats.org/officeDocument/2006/relationships/hyperlink" Target="https://www.aiesec.dz/" TargetMode="External"/><Relationship Id="rId57" Type="http://schemas.openxmlformats.org/officeDocument/2006/relationships/hyperlink" Target="http://www.linkedin.com/in/szabolcs-subert-3b8463a1" TargetMode="External"/><Relationship Id="rId56" Type="http://schemas.openxmlformats.org/officeDocument/2006/relationships/hyperlink" Target="https://www.instagram.com/geniusonline.kz?igsh=cTNzajRhNWdxZzN2" TargetMode="External"/><Relationship Id="rId159" Type="http://schemas.openxmlformats.org/officeDocument/2006/relationships/hyperlink" Target="https://www.instagram.com/chadha_space/" TargetMode="External"/><Relationship Id="rId59" Type="http://schemas.openxmlformats.org/officeDocument/2006/relationships/hyperlink" Target="https://blue-community.net/2025/06/blue-community-jrp-from-odisha-india/" TargetMode="External"/><Relationship Id="rId154" Type="http://schemas.openxmlformats.org/officeDocument/2006/relationships/hyperlink" Target="https://www.instagram.com/deena_is_here?igsh=Zmo5b21seGpjMGVn" TargetMode="External"/><Relationship Id="rId58" Type="http://schemas.openxmlformats.org/officeDocument/2006/relationships/hyperlink" Target="https://www.facebook.com/szabolcs.subert" TargetMode="External"/><Relationship Id="rId153" Type="http://schemas.openxmlformats.org/officeDocument/2006/relationships/hyperlink" Target="https://www.instagram.com/isceb.brussels?igsh=bzV6cXJqM3Nmbmli" TargetMode="External"/><Relationship Id="rId152" Type="http://schemas.openxmlformats.org/officeDocument/2006/relationships/hyperlink" Target="https://www.linkedin.com/in/mariia-lemza-90ba74355?utm_source=share_via&amp;utm_content=profile&amp;utm_medium=member_ios" TargetMode="External"/><Relationship Id="rId151" Type="http://schemas.openxmlformats.org/officeDocument/2006/relationships/hyperlink" Target="https://assembly.kz/ru/" TargetMode="External"/><Relationship Id="rId158" Type="http://schemas.openxmlformats.org/officeDocument/2006/relationships/hyperlink" Target="https://www.linkedin.com/in/chadha-errahmane-boussahia/" TargetMode="External"/><Relationship Id="rId157" Type="http://schemas.openxmlformats.org/officeDocument/2006/relationships/hyperlink" Target="https://www.facebook.com/share/196xRnNyQ4/" TargetMode="External"/><Relationship Id="rId156" Type="http://schemas.openxmlformats.org/officeDocument/2006/relationships/hyperlink" Target="https://www.instagram.com/mahmoud._.ayyash?igsh=aHIweHM2bDdrdWli" TargetMode="External"/><Relationship Id="rId155" Type="http://schemas.openxmlformats.org/officeDocument/2006/relationships/hyperlink" Target="https://www.ted.com/watch/tedx-talks" TargetMode="External"/><Relationship Id="rId107" Type="http://schemas.openxmlformats.org/officeDocument/2006/relationships/hyperlink" Target="https://www.instagram.com/sanaullah_baburi?igsh=MTVjY2I4dW1naHJocg%3D%3D&amp;utm_source=qr" TargetMode="External"/><Relationship Id="rId228" Type="http://schemas.openxmlformats.org/officeDocument/2006/relationships/hyperlink" Target="http://www.linkedin.com/in/vothana-horng-669639323" TargetMode="External"/><Relationship Id="rId106" Type="http://schemas.openxmlformats.org/officeDocument/2006/relationships/hyperlink" Target="https://aseanfoundation.org" TargetMode="External"/><Relationship Id="rId227" Type="http://schemas.openxmlformats.org/officeDocument/2006/relationships/hyperlink" Target="https://www.aiesecinpakistan.org/" TargetMode="External"/><Relationship Id="rId105" Type="http://schemas.openxmlformats.org/officeDocument/2006/relationships/hyperlink" Target="http://www.linkedin.com/in/abdulbosit-alijonov-88b593374" TargetMode="External"/><Relationship Id="rId226" Type="http://schemas.openxmlformats.org/officeDocument/2006/relationships/hyperlink" Target="https://www.linkedin.com/in/hinashahnaz/" TargetMode="External"/><Relationship Id="rId104" Type="http://schemas.openxmlformats.org/officeDocument/2006/relationships/hyperlink" Target="https://news-ph.churchofjesuschrist.org/" TargetMode="External"/><Relationship Id="rId225" Type="http://schemas.openxmlformats.org/officeDocument/2006/relationships/hyperlink" Target="https://medkop.org/tr/" TargetMode="External"/><Relationship Id="rId109" Type="http://schemas.openxmlformats.org/officeDocument/2006/relationships/hyperlink" Target="https://www.linkedin.com/in/umar-muhammad-952729177?utm_source=share_via&amp;utm_content=profile&amp;utm_medium=member_android" TargetMode="External"/><Relationship Id="rId108" Type="http://schemas.openxmlformats.org/officeDocument/2006/relationships/hyperlink" Target="https://fpcindonesia.org/" TargetMode="External"/><Relationship Id="rId229" Type="http://schemas.openxmlformats.org/officeDocument/2006/relationships/hyperlink" Target="https://www.instagram.com/isthatooobvious?igsh=ZWc5cDU5dGl0M3Bs&amp;utm_source=qr" TargetMode="External"/><Relationship Id="rId220" Type="http://schemas.openxmlformats.org/officeDocument/2006/relationships/hyperlink" Target="https://www.linkedin.com/in/fatima-azahra-benali/" TargetMode="External"/><Relationship Id="rId103" Type="http://schemas.openxmlformats.org/officeDocument/2006/relationships/hyperlink" Target="https://um6p.ma/en/social-experience-program" TargetMode="External"/><Relationship Id="rId224" Type="http://schemas.openxmlformats.org/officeDocument/2006/relationships/hyperlink" Target="https://www.facebook.com/amal.abu.hamad.2025/" TargetMode="External"/><Relationship Id="rId102" Type="http://schemas.openxmlformats.org/officeDocument/2006/relationships/hyperlink" Target="https://www.linkedin.com/in/adil-oubanala-885ab3387/" TargetMode="External"/><Relationship Id="rId223" Type="http://schemas.openxmlformats.org/officeDocument/2006/relationships/hyperlink" Target="https://web.facebook.com/profile.php?id=100088791565095" TargetMode="External"/><Relationship Id="rId101" Type="http://schemas.openxmlformats.org/officeDocument/2006/relationships/hyperlink" Target="https://upi.edu" TargetMode="External"/><Relationship Id="rId222" Type="http://schemas.openxmlformats.org/officeDocument/2006/relationships/hyperlink" Target="https://donner.armeedusalut.fr/mon-don/?codeorigine=ITSEAG01&amp;utm_source=google&amp;utm_medium=cpc&amp;utm_campaign=marqueads&amp;gad_source=1&amp;gad_campaignid=23201623384&amp;gbraid=0AAAAADcOE-OpXeEMbEB7TEHVagfF5rOIn&amp;gclid=CjwKCAjwgajSBhBEEiwASicJU8yIXK4SsdRCZQY5QSB-5JbSH_UtOdwUTwQW0J9RnQqmEnqXncbw8hoCnEAQAvD_BwE" TargetMode="External"/><Relationship Id="rId100" Type="http://schemas.openxmlformats.org/officeDocument/2006/relationships/hyperlink" Target="http://www.linkedin.com/in/rleviaasriana" TargetMode="External"/><Relationship Id="rId221" Type="http://schemas.openxmlformats.org/officeDocument/2006/relationships/hyperlink" Target="https://www.instagram.com/fleurita.benali/" TargetMode="External"/><Relationship Id="rId217" Type="http://schemas.openxmlformats.org/officeDocument/2006/relationships/hyperlink" Target="https://fodern.org" TargetMode="External"/><Relationship Id="rId216" Type="http://schemas.openxmlformats.org/officeDocument/2006/relationships/hyperlink" Target="https://www.facebook.com/ezzaldin.hamed.1" TargetMode="External"/><Relationship Id="rId215" Type="http://schemas.openxmlformats.org/officeDocument/2006/relationships/hyperlink" Target="https://instagram.com/ezzaldinhamed" TargetMode="External"/><Relationship Id="rId214" Type="http://schemas.openxmlformats.org/officeDocument/2006/relationships/hyperlink" Target="https://www.linkedin.com/in/ezzaldinhamed/" TargetMode="External"/><Relationship Id="rId219" Type="http://schemas.openxmlformats.org/officeDocument/2006/relationships/hyperlink" Target="https://shar-hospital.com/" TargetMode="External"/><Relationship Id="rId218" Type="http://schemas.openxmlformats.org/officeDocument/2006/relationships/hyperlink" Target="https://kazanforum.ru/?ysclid=mr88sco6be522645525" TargetMode="External"/><Relationship Id="rId213" Type="http://schemas.openxmlformats.org/officeDocument/2006/relationships/hyperlink" Target="https://yiad.org" TargetMode="External"/><Relationship Id="rId212" Type="http://schemas.openxmlformats.org/officeDocument/2006/relationships/hyperlink" Target="https://www.facebook.com/share/1Eq69SR9wK/?mibextid=wwXIfr" TargetMode="External"/><Relationship Id="rId211" Type="http://schemas.openxmlformats.org/officeDocument/2006/relationships/hyperlink" Target="https://www.facebook.com/share/1GstVxZhXn/?mibextid=wwXIfr" TargetMode="External"/><Relationship Id="rId210" Type="http://schemas.openxmlformats.org/officeDocument/2006/relationships/hyperlink" Target="https://www.linkedin.com/in/halbast-abdulah-0178b487?originalSubdomain=iq" TargetMode="External"/><Relationship Id="rId129" Type="http://schemas.openxmlformats.org/officeDocument/2006/relationships/hyperlink" Target="https://www.linkedin.com/in/jadsandakli" TargetMode="External"/><Relationship Id="rId128" Type="http://schemas.openxmlformats.org/officeDocument/2006/relationships/hyperlink" Target="https://www.globalshapers.org/" TargetMode="External"/><Relationship Id="rId249" Type="http://schemas.openxmlformats.org/officeDocument/2006/relationships/hyperlink" Target="https://www.linkedin.com/in/maarij-shamim-575214202/" TargetMode="External"/><Relationship Id="rId127" Type="http://schemas.openxmlformats.org/officeDocument/2006/relationships/hyperlink" Target="https://www.instagram.com/carlazarba/" TargetMode="External"/><Relationship Id="rId248" Type="http://schemas.openxmlformats.org/officeDocument/2006/relationships/hyperlink" Target="https://www.aiesec.vn" TargetMode="External"/><Relationship Id="rId126" Type="http://schemas.openxmlformats.org/officeDocument/2006/relationships/hyperlink" Target="https://www.linkedin.com/in/carla-zarba/" TargetMode="External"/><Relationship Id="rId247" Type="http://schemas.openxmlformats.org/officeDocument/2006/relationships/hyperlink" Target="https://www.facebook.com/share/1AVRsreZR7/?mibextid=wwXIfr" TargetMode="External"/><Relationship Id="rId121" Type="http://schemas.openxmlformats.org/officeDocument/2006/relationships/hyperlink" Target="http://linkedin.com/in/roy-guami-lasjordien-956b7a23a" TargetMode="External"/><Relationship Id="rId242" Type="http://schemas.openxmlformats.org/officeDocument/2006/relationships/hyperlink" Target="https://n/A" TargetMode="External"/><Relationship Id="rId120" Type="http://schemas.openxmlformats.org/officeDocument/2006/relationships/hyperlink" Target="http://www.linkedin.com/in/robiyabegim-mekhrillaeva-851923238" TargetMode="External"/><Relationship Id="rId241" Type="http://schemas.openxmlformats.org/officeDocument/2006/relationships/hyperlink" Target="https://www.facebook.com/m.tamim.hossain.131250" TargetMode="External"/><Relationship Id="rId240" Type="http://schemas.openxmlformats.org/officeDocument/2006/relationships/hyperlink" Target="https://permiasnasional.com" TargetMode="External"/><Relationship Id="rId125" Type="http://schemas.openxmlformats.org/officeDocument/2006/relationships/hyperlink" Target="https://hippo-thecontest.org" TargetMode="External"/><Relationship Id="rId246" Type="http://schemas.openxmlformats.org/officeDocument/2006/relationships/hyperlink" Target="https://www.instagram.com/janecore.exe?igsh=Nnl2dDRxdXdvaHlp&amp;utm_source=qr" TargetMode="External"/><Relationship Id="rId124" Type="http://schemas.openxmlformats.org/officeDocument/2006/relationships/hyperlink" Target="https://www.ebrd.com/home.html" TargetMode="External"/><Relationship Id="rId245" Type="http://schemas.openxmlformats.org/officeDocument/2006/relationships/hyperlink" Target="https://www.instagram.com/neruva_foundation?igsh=MWhycTE2ODJ6ang2Mg==" TargetMode="External"/><Relationship Id="rId123" Type="http://schemas.openxmlformats.org/officeDocument/2006/relationships/hyperlink" Target="https://uz.linkedin.com/in/849060272" TargetMode="External"/><Relationship Id="rId244" Type="http://schemas.openxmlformats.org/officeDocument/2006/relationships/hyperlink" Target="https://www.linkedin.com/in/bhavya-agarwal-511861318?utm_source=share_via&amp;utm_content=profile&amp;utm_medium=member_ios" TargetMode="External"/><Relationship Id="rId122" Type="http://schemas.openxmlformats.org/officeDocument/2006/relationships/hyperlink" Target="https://mrbobkampunginggris.com/" TargetMode="External"/><Relationship Id="rId243" Type="http://schemas.openxmlformats.org/officeDocument/2006/relationships/hyperlink" Target="https://www.linkedin.com/in/calvingohch/" TargetMode="External"/><Relationship Id="rId95" Type="http://schemas.openxmlformats.org/officeDocument/2006/relationships/hyperlink" Target="https://youthdiplomacyforum.com/" TargetMode="External"/><Relationship Id="rId94" Type="http://schemas.openxmlformats.org/officeDocument/2006/relationships/hyperlink" Target="https://www.facebook.com/share/1952A8Kru3/" TargetMode="External"/><Relationship Id="rId97" Type="http://schemas.openxmlformats.org/officeDocument/2006/relationships/hyperlink" Target="https://amalbangladesh.org/" TargetMode="External"/><Relationship Id="rId96" Type="http://schemas.openxmlformats.org/officeDocument/2006/relationships/hyperlink" Target="https://expo2017astana.com" TargetMode="External"/><Relationship Id="rId99" Type="http://schemas.openxmlformats.org/officeDocument/2006/relationships/hyperlink" Target="https://iq.linkedin.com/in/zinahsaleh" TargetMode="External"/><Relationship Id="rId98" Type="http://schemas.openxmlformats.org/officeDocument/2006/relationships/hyperlink" Target="https://www.pharofoundation.org/" TargetMode="External"/><Relationship Id="rId91" Type="http://schemas.openxmlformats.org/officeDocument/2006/relationships/hyperlink" Target="https://www.facebook.com/share/14gsZg4GXHB/?mibextid=wwXIfr" TargetMode="External"/><Relationship Id="rId90" Type="http://schemas.openxmlformats.org/officeDocument/2006/relationships/hyperlink" Target="https://gov.uz/oz/yoshlar" TargetMode="External"/><Relationship Id="rId93" Type="http://schemas.openxmlformats.org/officeDocument/2006/relationships/hyperlink" Target="https://www.instagram.com/tufail_shah19?igsh=MTJiZ3hiMnNzOTNuZA==" TargetMode="External"/><Relationship Id="rId92" Type="http://schemas.openxmlformats.org/officeDocument/2006/relationships/hyperlink" Target="https://droughtclp.unccd.int/co-chairs" TargetMode="External"/><Relationship Id="rId118" Type="http://schemas.openxmlformats.org/officeDocument/2006/relationships/hyperlink" Target="https://l.instagram.com/?u=https%3A%2F%2Fmy.manychat.com%2Fr%3Fact%3D56da4ac4e192a26cea53777edc00ca3e%26u%3D1390632899%26p%3D1886075%26h%3Dc18dadee53%26fbclid%3DPAT01DUASwpNRleHRuA2FlbQIxMABzcnRjBmFwcF9pZA81NjcwNjczNDMzNTI0MjcAAadc83kBMnUGgnl-buzcUdW459wuasa6AtKuFyLgvsNwxdhH8QzXO-wGg6e9bw_aem_dPIjj_DuJPc4kPKQdYUUDw&amp;e=AUBpSrn0DPlaoe8vrOcrsiZkR6BkSkdmmBisgGhRm9xAM2D82DVmkop2GsQGmiKPSlGLkDIrBrwjZEHG5LkEd_YdSInchNOs0bfta7TxzA&amp;s=1" TargetMode="External"/><Relationship Id="rId239" Type="http://schemas.openxmlformats.org/officeDocument/2006/relationships/hyperlink" Target="http://www.linkedin.com/in/gizelle-clevanka-020738257" TargetMode="External"/><Relationship Id="rId117" Type="http://schemas.openxmlformats.org/officeDocument/2006/relationships/hyperlink" Target="http://www.linkedin.com/in/elnathan-nkuli-78888422b" TargetMode="External"/><Relationship Id="rId238" Type="http://schemas.openxmlformats.org/officeDocument/2006/relationships/hyperlink" Target="http://www.linkedin.com/in/akhila-chandran-5279721a0" TargetMode="External"/><Relationship Id="rId116" Type="http://schemas.openxmlformats.org/officeDocument/2006/relationships/hyperlink" Target="https://www.amnesty.org/en/location/africa/southern-africa/south-africa/" TargetMode="External"/><Relationship Id="rId237" Type="http://schemas.openxmlformats.org/officeDocument/2006/relationships/hyperlink" Target="https://www.midducc.org/" TargetMode="External"/><Relationship Id="rId115" Type="http://schemas.openxmlformats.org/officeDocument/2006/relationships/hyperlink" Target="https://www.iutoic-dhaka.edu/" TargetMode="External"/><Relationship Id="rId236" Type="http://schemas.openxmlformats.org/officeDocument/2006/relationships/hyperlink" Target="https://www.linkedin.com/in/khadijaiftikhar177?" TargetMode="External"/><Relationship Id="rId119" Type="http://schemas.openxmlformats.org/officeDocument/2006/relationships/hyperlink" Target="https://cepf-rdc.org/a-propos" TargetMode="External"/><Relationship Id="rId110" Type="http://schemas.openxmlformats.org/officeDocument/2006/relationships/hyperlink" Target="https://www.instagram.com/itz.umarr?igsh=azM1em13YTZtdGk4" TargetMode="External"/><Relationship Id="rId231" Type="http://schemas.openxmlformats.org/officeDocument/2006/relationships/hyperlink" Target="https://jcicambodia.cc/home?fbclid=IwY2xjawS4FGRleHRuA2FlbQIxMABicmlkETFxdk80TzNLaGMwM1NzZHl4c3J0YwZhcHBfaWQQMjIyMDM5MTc4ODIwMDg5MgABHjedrfVp6QTEY-ADNEZYxkG-ddQnR-4zl06qon3lVVnTBLRCJyLHYJuK-" TargetMode="External"/><Relationship Id="rId230" Type="http://schemas.openxmlformats.org/officeDocument/2006/relationships/hyperlink" Target="https://www.facebook.com/share/17iwCNTwhb/?mibextid=wwXIfr" TargetMode="External"/><Relationship Id="rId114" Type="http://schemas.openxmlformats.org/officeDocument/2006/relationships/hyperlink" Target="https://www.facebook.com/saki.cismaan/" TargetMode="External"/><Relationship Id="rId235" Type="http://schemas.openxmlformats.org/officeDocument/2006/relationships/hyperlink" Target="https://www.facebook.com/racmandaluyongpremier" TargetMode="External"/><Relationship Id="rId113" Type="http://schemas.openxmlformats.org/officeDocument/2006/relationships/hyperlink" Target="https://www.instagram.com/zakariye_sudeysi?igsh=cGtzdHBvcGh6dzY4&amp;utm_source=qr" TargetMode="External"/><Relationship Id="rId234" Type="http://schemas.openxmlformats.org/officeDocument/2006/relationships/hyperlink" Target="https://www.facebook.com/vgsamonte" TargetMode="External"/><Relationship Id="rId112" Type="http://schemas.openxmlformats.org/officeDocument/2006/relationships/hyperlink" Target="https://www.linkedin.com/in/zakaria-abdi-rachid-abdi-zudesib97438318/" TargetMode="External"/><Relationship Id="rId233" Type="http://schemas.openxmlformats.org/officeDocument/2006/relationships/hyperlink" Target="https://www.linkedin.com/in/vgsamonte" TargetMode="External"/><Relationship Id="rId111" Type="http://schemas.openxmlformats.org/officeDocument/2006/relationships/hyperlink" Target="https://www.facebook.com/umar.muhammad.lawan.5346" TargetMode="External"/><Relationship Id="rId232" Type="http://schemas.openxmlformats.org/officeDocument/2006/relationships/hyperlink" Target="https://www.rusi.org/" TargetMode="External"/><Relationship Id="rId206" Type="http://schemas.openxmlformats.org/officeDocument/2006/relationships/hyperlink" Target="https://www.facebook.com/omar.w.wafa" TargetMode="External"/><Relationship Id="rId205" Type="http://schemas.openxmlformats.org/officeDocument/2006/relationships/hyperlink" Target="https://www.instagram.com/omar_w.w0/" TargetMode="External"/><Relationship Id="rId204" Type="http://schemas.openxmlformats.org/officeDocument/2006/relationships/hyperlink" Target="https://cftyumen.ru/" TargetMode="External"/><Relationship Id="rId203" Type="http://schemas.openxmlformats.org/officeDocument/2006/relationships/hyperlink" Target="https://cdo-iraq.org/" TargetMode="External"/><Relationship Id="rId209" Type="http://schemas.openxmlformats.org/officeDocument/2006/relationships/hyperlink" Target="https://www.linkedin.com/company/dscneduet/" TargetMode="External"/><Relationship Id="rId208" Type="http://schemas.openxmlformats.org/officeDocument/2006/relationships/hyperlink" Target="https://www.linkedin.com/in/moneebah/" TargetMode="External"/><Relationship Id="rId207" Type="http://schemas.openxmlformats.org/officeDocument/2006/relationships/hyperlink" Target="https://hareerinitiative.com/" TargetMode="External"/><Relationship Id="rId202" Type="http://schemas.openxmlformats.org/officeDocument/2006/relationships/hyperlink" Target="https://www.linkedin.com/in/lizan-ahmed-279178195?utm_source=share_via&amp;utm_content=profile&amp;utm_medium=member_ios" TargetMode="External"/><Relationship Id="rId201" Type="http://schemas.openxmlformats.org/officeDocument/2006/relationships/hyperlink" Target="https://www.unv.org" TargetMode="External"/><Relationship Id="rId200" Type="http://schemas.openxmlformats.org/officeDocument/2006/relationships/hyperlink" Target="https://www.instagram.com/menamersha?igsh=YjhhcHgzMmNsZTh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2" width="13.0"/>
    <col customWidth="1" min="3" max="3" width="16.25"/>
    <col customWidth="1" min="4" max="4" width="6.38"/>
    <col customWidth="1" min="5" max="5" width="10.0"/>
    <col customWidth="1" min="6" max="6" width="46.75"/>
    <col customWidth="1" min="7" max="7" width="7.63"/>
    <col customWidth="1" min="8" max="8" width="32.38"/>
    <col customWidth="1" min="9" max="9" width="46.25"/>
    <col customWidth="1" min="10" max="28" width="7.63"/>
  </cols>
  <sheetData>
    <row r="1" ht="15.75" customHeight="1">
      <c r="A1" s="1">
        <v>11.0</v>
      </c>
      <c r="B1" s="2" t="s">
        <v>0</v>
      </c>
      <c r="C1" s="3" t="s">
        <v>1</v>
      </c>
      <c r="D1" s="4"/>
      <c r="E1" s="4"/>
      <c r="F1" s="3" t="s">
        <v>2</v>
      </c>
      <c r="G1" s="3" t="s">
        <v>3</v>
      </c>
      <c r="H1" s="3" t="s">
        <v>4</v>
      </c>
      <c r="I1" s="3" t="s">
        <v>5</v>
      </c>
      <c r="J1" s="3" t="s">
        <v>6</v>
      </c>
      <c r="K1" s="4"/>
      <c r="L1" s="4"/>
      <c r="M1" s="4"/>
      <c r="N1" s="4"/>
      <c r="O1" s="4"/>
      <c r="P1" s="4"/>
      <c r="Q1" s="4"/>
      <c r="R1" s="4"/>
      <c r="S1" s="4"/>
      <c r="T1" s="4"/>
      <c r="U1" s="4"/>
      <c r="V1" s="4"/>
      <c r="W1" s="4"/>
      <c r="X1" s="4"/>
      <c r="Y1" s="4"/>
      <c r="Z1" s="4"/>
      <c r="AA1" s="4"/>
      <c r="AB1" s="4"/>
      <c r="AC1" s="5" t="s">
        <v>7</v>
      </c>
    </row>
    <row r="2" ht="15.75" customHeight="1">
      <c r="A2" s="1">
        <v>12.0</v>
      </c>
      <c r="B2" s="2" t="s">
        <v>8</v>
      </c>
      <c r="C2" s="3" t="s">
        <v>9</v>
      </c>
      <c r="D2" s="4"/>
      <c r="E2" s="4"/>
      <c r="F2" s="3" t="s">
        <v>10</v>
      </c>
      <c r="G2" s="3" t="s">
        <v>11</v>
      </c>
      <c r="H2" s="3" t="s">
        <v>12</v>
      </c>
      <c r="I2" s="3" t="s">
        <v>13</v>
      </c>
      <c r="J2" s="3" t="s">
        <v>6</v>
      </c>
      <c r="K2" s="4"/>
      <c r="L2" s="4"/>
      <c r="M2" s="4"/>
      <c r="N2" s="4"/>
      <c r="O2" s="4"/>
      <c r="P2" s="4"/>
      <c r="Q2" s="4"/>
      <c r="R2" s="4"/>
      <c r="S2" s="4"/>
      <c r="T2" s="4"/>
      <c r="U2" s="4"/>
      <c r="V2" s="4"/>
      <c r="W2" s="4"/>
      <c r="X2" s="4"/>
      <c r="Y2" s="4"/>
      <c r="Z2" s="4"/>
      <c r="AA2" s="4"/>
      <c r="AB2" s="4"/>
      <c r="AC2" s="5" t="s">
        <v>14</v>
      </c>
    </row>
    <row r="3" ht="15.75" customHeight="1">
      <c r="A3" s="1">
        <v>13.0</v>
      </c>
      <c r="B3" s="2" t="s">
        <v>15</v>
      </c>
      <c r="C3" s="3" t="s">
        <v>1</v>
      </c>
      <c r="D3" s="4"/>
      <c r="E3" s="4"/>
      <c r="F3" s="3" t="s">
        <v>16</v>
      </c>
      <c r="G3" s="3" t="s">
        <v>17</v>
      </c>
      <c r="H3" s="3" t="s">
        <v>18</v>
      </c>
      <c r="I3" s="3" t="s">
        <v>19</v>
      </c>
      <c r="J3" s="3" t="s">
        <v>6</v>
      </c>
      <c r="K3" s="4"/>
      <c r="L3" s="4"/>
      <c r="M3" s="4"/>
      <c r="N3" s="4"/>
      <c r="O3" s="4"/>
      <c r="P3" s="4"/>
      <c r="Q3" s="4"/>
      <c r="R3" s="4"/>
      <c r="S3" s="4"/>
      <c r="T3" s="4"/>
      <c r="U3" s="4"/>
      <c r="V3" s="4"/>
      <c r="W3" s="4"/>
      <c r="X3" s="4"/>
      <c r="Y3" s="4"/>
      <c r="Z3" s="4"/>
      <c r="AA3" s="4"/>
      <c r="AB3" s="4"/>
      <c r="AC3" s="5" t="s">
        <v>7</v>
      </c>
    </row>
    <row r="4" ht="15.75" customHeight="1">
      <c r="A4" s="1">
        <v>15.0</v>
      </c>
      <c r="B4" s="2" t="s">
        <v>20</v>
      </c>
      <c r="C4" s="3" t="s">
        <v>1</v>
      </c>
      <c r="D4" s="4"/>
      <c r="E4" s="4"/>
      <c r="F4" s="3" t="s">
        <v>21</v>
      </c>
      <c r="G4" s="4"/>
      <c r="H4" s="4"/>
      <c r="I4" s="4"/>
      <c r="J4" s="4"/>
      <c r="K4" s="4"/>
      <c r="L4" s="4"/>
      <c r="M4" s="4"/>
      <c r="N4" s="4"/>
      <c r="O4" s="4"/>
      <c r="P4" s="4"/>
      <c r="Q4" s="4"/>
      <c r="R4" s="4"/>
      <c r="S4" s="4"/>
      <c r="T4" s="4"/>
      <c r="U4" s="4"/>
      <c r="V4" s="4"/>
      <c r="W4" s="4"/>
      <c r="X4" s="4"/>
      <c r="Y4" s="4"/>
      <c r="Z4" s="4"/>
      <c r="AA4" s="4"/>
      <c r="AB4" s="4"/>
      <c r="AC4" s="5" t="s">
        <v>22</v>
      </c>
    </row>
    <row r="5" ht="15.75" customHeight="1">
      <c r="A5" s="1">
        <v>17.0</v>
      </c>
      <c r="B5" s="2" t="s">
        <v>23</v>
      </c>
      <c r="C5" s="3" t="s">
        <v>24</v>
      </c>
      <c r="D5" s="4"/>
      <c r="E5" s="4"/>
      <c r="F5" s="3" t="s">
        <v>25</v>
      </c>
      <c r="G5" s="4"/>
      <c r="H5" s="4"/>
      <c r="I5" s="4"/>
      <c r="J5" s="4"/>
      <c r="K5" s="4"/>
      <c r="L5" s="4"/>
      <c r="M5" s="4"/>
      <c r="N5" s="4"/>
      <c r="O5" s="4"/>
      <c r="P5" s="4"/>
      <c r="Q5" s="4"/>
      <c r="R5" s="4"/>
      <c r="S5" s="4"/>
      <c r="T5" s="4"/>
      <c r="U5" s="4"/>
      <c r="V5" s="4"/>
      <c r="W5" s="4"/>
      <c r="X5" s="4"/>
      <c r="Y5" s="4"/>
      <c r="Z5" s="4"/>
      <c r="AA5" s="4"/>
      <c r="AB5" s="4"/>
      <c r="AC5" s="5" t="s">
        <v>22</v>
      </c>
    </row>
    <row r="6" ht="15.75" customHeight="1">
      <c r="A6" s="1">
        <v>18.0</v>
      </c>
      <c r="B6" s="2" t="s">
        <v>26</v>
      </c>
      <c r="C6" s="3" t="s">
        <v>27</v>
      </c>
      <c r="D6" s="3" t="s">
        <v>28</v>
      </c>
      <c r="E6" s="6" t="s">
        <v>29</v>
      </c>
      <c r="F6" s="3" t="s">
        <v>30</v>
      </c>
      <c r="G6" s="4"/>
      <c r="H6" s="4"/>
      <c r="I6" s="4"/>
      <c r="J6" s="4"/>
      <c r="K6" s="4"/>
      <c r="L6" s="4"/>
      <c r="M6" s="4"/>
      <c r="N6" s="4"/>
      <c r="O6" s="4"/>
      <c r="P6" s="4"/>
      <c r="Q6" s="4"/>
      <c r="R6" s="4"/>
      <c r="S6" s="4"/>
      <c r="T6" s="4"/>
      <c r="U6" s="4"/>
      <c r="V6" s="4"/>
      <c r="W6" s="4"/>
      <c r="X6" s="4"/>
      <c r="Y6" s="4"/>
      <c r="Z6" s="4"/>
      <c r="AA6" s="4"/>
      <c r="AB6" s="4"/>
      <c r="AC6" s="5" t="s">
        <v>22</v>
      </c>
    </row>
    <row r="7" ht="15.75" customHeight="1">
      <c r="A7" s="1">
        <v>20.0</v>
      </c>
      <c r="B7" s="2" t="s">
        <v>31</v>
      </c>
      <c r="C7" s="3" t="s">
        <v>27</v>
      </c>
      <c r="D7" s="3" t="s">
        <v>32</v>
      </c>
      <c r="E7" s="4"/>
      <c r="F7" s="3" t="s">
        <v>33</v>
      </c>
      <c r="G7" s="4"/>
      <c r="H7" s="4"/>
      <c r="I7" s="4"/>
      <c r="J7" s="4"/>
      <c r="K7" s="4"/>
      <c r="L7" s="4"/>
      <c r="M7" s="4"/>
      <c r="N7" s="4"/>
      <c r="O7" s="4"/>
      <c r="P7" s="4"/>
      <c r="Q7" s="4"/>
      <c r="R7" s="4"/>
      <c r="S7" s="4"/>
      <c r="T7" s="4"/>
      <c r="U7" s="4"/>
      <c r="V7" s="4"/>
      <c r="W7" s="4"/>
      <c r="X7" s="4"/>
      <c r="Y7" s="4"/>
      <c r="Z7" s="4"/>
      <c r="AA7" s="4"/>
      <c r="AB7" s="4"/>
      <c r="AC7" s="5" t="s">
        <v>22</v>
      </c>
    </row>
    <row r="8" ht="15.75" customHeight="1">
      <c r="A8" s="1">
        <v>21.0</v>
      </c>
      <c r="B8" s="2" t="s">
        <v>34</v>
      </c>
      <c r="C8" s="3" t="s">
        <v>1</v>
      </c>
      <c r="D8" s="4"/>
      <c r="E8" s="4"/>
      <c r="F8" s="3" t="s">
        <v>35</v>
      </c>
      <c r="G8" s="4"/>
      <c r="H8" s="4"/>
      <c r="I8" s="4"/>
      <c r="J8" s="4"/>
      <c r="K8" s="4"/>
      <c r="L8" s="4"/>
      <c r="M8" s="4"/>
      <c r="N8" s="4"/>
      <c r="O8" s="4"/>
      <c r="P8" s="4"/>
      <c r="Q8" s="4"/>
      <c r="R8" s="4"/>
      <c r="S8" s="4"/>
      <c r="T8" s="4"/>
      <c r="U8" s="4"/>
      <c r="V8" s="4"/>
      <c r="W8" s="4"/>
      <c r="X8" s="4"/>
      <c r="Y8" s="4"/>
      <c r="Z8" s="4"/>
      <c r="AA8" s="4"/>
      <c r="AB8" s="4"/>
      <c r="AC8" s="5" t="s">
        <v>22</v>
      </c>
    </row>
    <row r="9" ht="15.75" customHeight="1">
      <c r="A9" s="1">
        <v>25.0</v>
      </c>
      <c r="B9" s="2" t="s">
        <v>36</v>
      </c>
      <c r="C9" s="3" t="s">
        <v>24</v>
      </c>
      <c r="D9" s="4"/>
      <c r="E9" s="4"/>
      <c r="F9" s="3" t="s">
        <v>37</v>
      </c>
      <c r="G9" s="4"/>
      <c r="H9" s="4"/>
      <c r="I9" s="4"/>
      <c r="J9" s="4"/>
      <c r="K9" s="4"/>
      <c r="L9" s="4"/>
      <c r="M9" s="4"/>
      <c r="N9" s="4"/>
      <c r="O9" s="4"/>
      <c r="P9" s="4"/>
      <c r="Q9" s="4"/>
      <c r="R9" s="4"/>
      <c r="S9" s="4"/>
      <c r="T9" s="4"/>
      <c r="U9" s="4"/>
      <c r="V9" s="4"/>
      <c r="W9" s="4"/>
      <c r="X9" s="4"/>
      <c r="Y9" s="4"/>
      <c r="Z9" s="4"/>
      <c r="AA9" s="4"/>
      <c r="AB9" s="4"/>
      <c r="AC9" s="5" t="s">
        <v>22</v>
      </c>
    </row>
    <row r="10" ht="15.75" customHeight="1">
      <c r="A10" s="7">
        <v>27.0</v>
      </c>
      <c r="B10" s="2" t="s">
        <v>38</v>
      </c>
      <c r="C10" s="8" t="s">
        <v>39</v>
      </c>
      <c r="D10" s="3" t="s">
        <v>40</v>
      </c>
      <c r="E10" s="3" t="s">
        <v>41</v>
      </c>
      <c r="F10" s="3" t="s">
        <v>42</v>
      </c>
      <c r="G10" s="4"/>
      <c r="H10" s="4"/>
      <c r="I10" s="4"/>
      <c r="J10" s="4"/>
      <c r="K10" s="4"/>
      <c r="L10" s="4"/>
      <c r="M10" s="4"/>
      <c r="N10" s="4"/>
      <c r="O10" s="4"/>
      <c r="P10" s="4"/>
      <c r="Q10" s="4"/>
      <c r="R10" s="4"/>
      <c r="S10" s="4"/>
      <c r="T10" s="4"/>
      <c r="U10" s="4"/>
      <c r="V10" s="4"/>
      <c r="W10" s="4"/>
      <c r="X10" s="4"/>
      <c r="Y10" s="4"/>
      <c r="Z10" s="4"/>
      <c r="AA10" s="4"/>
      <c r="AB10" s="4"/>
      <c r="AC10" s="5" t="s">
        <v>43</v>
      </c>
    </row>
    <row r="11" ht="15.75" customHeight="1">
      <c r="A11" s="1">
        <v>31.0</v>
      </c>
      <c r="B11" s="2" t="s">
        <v>44</v>
      </c>
      <c r="C11" s="3" t="s">
        <v>1</v>
      </c>
      <c r="D11" s="4"/>
      <c r="E11" s="4"/>
      <c r="F11" s="3" t="s">
        <v>45</v>
      </c>
      <c r="G11" s="4"/>
      <c r="H11" s="4"/>
      <c r="I11" s="4"/>
      <c r="J11" s="4"/>
      <c r="K11" s="4"/>
      <c r="L11" s="4"/>
      <c r="M11" s="4"/>
      <c r="N11" s="4"/>
      <c r="O11" s="4"/>
      <c r="P11" s="4"/>
      <c r="Q11" s="4"/>
      <c r="R11" s="4"/>
      <c r="S11" s="4"/>
      <c r="T11" s="4"/>
      <c r="U11" s="4"/>
      <c r="V11" s="4"/>
      <c r="W11" s="4"/>
      <c r="X11" s="4"/>
      <c r="Y11" s="4"/>
      <c r="Z11" s="4"/>
      <c r="AA11" s="4"/>
      <c r="AB11" s="4"/>
      <c r="AC11" s="5" t="s">
        <v>22</v>
      </c>
    </row>
    <row r="12" ht="15.75" customHeight="1">
      <c r="A12" s="1">
        <v>32.0</v>
      </c>
      <c r="B12" s="2" t="s">
        <v>46</v>
      </c>
      <c r="C12" s="3" t="s">
        <v>24</v>
      </c>
      <c r="D12" s="4"/>
      <c r="E12" s="4"/>
      <c r="F12" s="3" t="s">
        <v>47</v>
      </c>
      <c r="G12" s="4"/>
      <c r="H12" s="4"/>
      <c r="I12" s="4"/>
      <c r="J12" s="4"/>
      <c r="K12" s="4"/>
      <c r="L12" s="4"/>
      <c r="M12" s="4"/>
      <c r="N12" s="4"/>
      <c r="O12" s="4"/>
      <c r="P12" s="4"/>
      <c r="Q12" s="4"/>
      <c r="R12" s="4"/>
      <c r="S12" s="4"/>
      <c r="T12" s="4"/>
      <c r="U12" s="4"/>
      <c r="V12" s="4"/>
      <c r="W12" s="4"/>
      <c r="X12" s="4"/>
      <c r="Y12" s="4"/>
      <c r="Z12" s="4"/>
      <c r="AA12" s="4"/>
      <c r="AB12" s="4"/>
      <c r="AC12" s="5" t="s">
        <v>22</v>
      </c>
    </row>
    <row r="13" ht="15.75" customHeight="1">
      <c r="A13" s="1">
        <v>33.0</v>
      </c>
      <c r="B13" s="2" t="s">
        <v>48</v>
      </c>
      <c r="C13" s="3" t="s">
        <v>24</v>
      </c>
      <c r="D13" s="4"/>
      <c r="E13" s="4"/>
      <c r="F13" s="3" t="s">
        <v>49</v>
      </c>
      <c r="G13" s="4"/>
      <c r="H13" s="4"/>
      <c r="I13" s="4"/>
      <c r="J13" s="4"/>
      <c r="K13" s="4"/>
      <c r="L13" s="4"/>
      <c r="M13" s="4"/>
      <c r="N13" s="4"/>
      <c r="O13" s="4"/>
      <c r="P13" s="4"/>
      <c r="Q13" s="4"/>
      <c r="R13" s="4"/>
      <c r="S13" s="4"/>
      <c r="T13" s="4"/>
      <c r="U13" s="4"/>
      <c r="V13" s="4"/>
      <c r="W13" s="4"/>
      <c r="X13" s="4"/>
      <c r="Y13" s="4"/>
      <c r="Z13" s="4"/>
      <c r="AA13" s="4"/>
      <c r="AB13" s="4"/>
      <c r="AC13" s="5" t="s">
        <v>22</v>
      </c>
    </row>
    <row r="14" ht="15.75" customHeight="1">
      <c r="A14" s="1">
        <v>34.0</v>
      </c>
      <c r="B14" s="2" t="s">
        <v>50</v>
      </c>
      <c r="C14" s="3" t="s">
        <v>24</v>
      </c>
      <c r="D14" s="4"/>
      <c r="E14" s="4"/>
      <c r="F14" s="3" t="s">
        <v>51</v>
      </c>
      <c r="G14" s="3" t="s">
        <v>52</v>
      </c>
      <c r="H14" s="3" t="s">
        <v>53</v>
      </c>
      <c r="I14" s="3" t="s">
        <v>54</v>
      </c>
      <c r="J14" s="3" t="s">
        <v>6</v>
      </c>
      <c r="K14" s="4"/>
      <c r="L14" s="4"/>
      <c r="M14" s="4"/>
      <c r="N14" s="4"/>
      <c r="O14" s="4"/>
      <c r="P14" s="4"/>
      <c r="Q14" s="4"/>
      <c r="R14" s="4"/>
      <c r="S14" s="4"/>
      <c r="T14" s="4"/>
      <c r="U14" s="4"/>
      <c r="V14" s="4"/>
      <c r="W14" s="4"/>
      <c r="X14" s="4"/>
      <c r="Y14" s="4"/>
      <c r="Z14" s="4"/>
      <c r="AA14" s="4"/>
      <c r="AB14" s="4"/>
      <c r="AC14" s="5" t="s">
        <v>7</v>
      </c>
    </row>
    <row r="15" ht="15.75" customHeight="1">
      <c r="A15" s="1">
        <v>39.0</v>
      </c>
      <c r="B15" s="2" t="s">
        <v>55</v>
      </c>
      <c r="C15" s="3" t="s">
        <v>56</v>
      </c>
      <c r="D15" s="4"/>
      <c r="E15" s="4"/>
      <c r="F15" s="3" t="s">
        <v>57</v>
      </c>
      <c r="G15" s="4"/>
      <c r="H15" s="4"/>
      <c r="I15" s="4"/>
      <c r="J15" s="4"/>
      <c r="K15" s="4"/>
      <c r="L15" s="4"/>
      <c r="M15" s="4"/>
      <c r="N15" s="4"/>
      <c r="O15" s="4"/>
      <c r="P15" s="4"/>
      <c r="Q15" s="4"/>
      <c r="R15" s="4"/>
      <c r="S15" s="4"/>
      <c r="T15" s="4"/>
      <c r="U15" s="4"/>
      <c r="V15" s="4"/>
      <c r="W15" s="4"/>
      <c r="X15" s="4"/>
      <c r="Y15" s="4"/>
      <c r="Z15" s="4"/>
      <c r="AA15" s="4"/>
      <c r="AB15" s="4"/>
      <c r="AC15" s="5" t="s">
        <v>22</v>
      </c>
    </row>
    <row r="16" ht="15.75" customHeight="1">
      <c r="A16" s="1">
        <v>40.0</v>
      </c>
      <c r="B16" s="2" t="s">
        <v>58</v>
      </c>
      <c r="C16" s="3" t="s">
        <v>27</v>
      </c>
      <c r="D16" s="3" t="s">
        <v>59</v>
      </c>
      <c r="E16" s="4"/>
      <c r="F16" s="3" t="s">
        <v>60</v>
      </c>
      <c r="G16" s="4"/>
      <c r="H16" s="4"/>
      <c r="I16" s="4"/>
      <c r="J16" s="4"/>
      <c r="K16" s="4"/>
      <c r="L16" s="4"/>
      <c r="M16" s="4"/>
      <c r="N16" s="4"/>
      <c r="O16" s="4"/>
      <c r="P16" s="4"/>
      <c r="Q16" s="4"/>
      <c r="R16" s="4"/>
      <c r="S16" s="4"/>
      <c r="T16" s="4"/>
      <c r="U16" s="4"/>
      <c r="V16" s="4"/>
      <c r="W16" s="4"/>
      <c r="X16" s="4"/>
      <c r="Y16" s="4"/>
      <c r="Z16" s="4"/>
      <c r="AA16" s="4"/>
      <c r="AB16" s="4"/>
      <c r="AC16" s="5" t="s">
        <v>22</v>
      </c>
    </row>
    <row r="17" ht="15.75" customHeight="1">
      <c r="A17" s="9">
        <v>43.0</v>
      </c>
      <c r="B17" s="2" t="s">
        <v>61</v>
      </c>
      <c r="C17" s="3" t="s">
        <v>39</v>
      </c>
      <c r="D17" s="3" t="s">
        <v>62</v>
      </c>
      <c r="E17" s="8" t="s">
        <v>41</v>
      </c>
      <c r="F17" s="3" t="s">
        <v>63</v>
      </c>
      <c r="G17" s="4"/>
      <c r="H17" s="4"/>
      <c r="I17" s="4"/>
      <c r="J17" s="4"/>
      <c r="K17" s="4"/>
      <c r="L17" s="4"/>
      <c r="M17" s="4"/>
      <c r="N17" s="4"/>
      <c r="O17" s="4"/>
      <c r="P17" s="4"/>
      <c r="Q17" s="4"/>
      <c r="R17" s="4"/>
      <c r="S17" s="4"/>
      <c r="T17" s="4"/>
      <c r="U17" s="4"/>
      <c r="V17" s="4"/>
      <c r="W17" s="4"/>
      <c r="X17" s="4"/>
      <c r="Y17" s="4"/>
      <c r="Z17" s="4"/>
      <c r="AA17" s="4"/>
      <c r="AB17" s="4"/>
      <c r="AC17" s="5" t="s">
        <v>22</v>
      </c>
    </row>
    <row r="18" ht="15.75" customHeight="1">
      <c r="A18" s="1">
        <v>44.0</v>
      </c>
      <c r="B18" s="2" t="s">
        <v>64</v>
      </c>
      <c r="C18" s="3" t="s">
        <v>1</v>
      </c>
      <c r="D18" s="4"/>
      <c r="E18" s="4"/>
      <c r="F18" s="3" t="s">
        <v>65</v>
      </c>
      <c r="G18" s="4"/>
      <c r="H18" s="4"/>
      <c r="I18" s="4"/>
      <c r="J18" s="4"/>
      <c r="K18" s="4"/>
      <c r="L18" s="4"/>
      <c r="M18" s="4"/>
      <c r="N18" s="4"/>
      <c r="O18" s="4"/>
      <c r="P18" s="4"/>
      <c r="Q18" s="4"/>
      <c r="R18" s="4"/>
      <c r="S18" s="4"/>
      <c r="T18" s="4"/>
      <c r="U18" s="4"/>
      <c r="V18" s="4"/>
      <c r="W18" s="4"/>
      <c r="X18" s="4"/>
      <c r="Y18" s="4"/>
      <c r="Z18" s="4"/>
      <c r="AA18" s="4"/>
      <c r="AB18" s="4"/>
      <c r="AC18" s="5" t="s">
        <v>22</v>
      </c>
    </row>
    <row r="19" ht="15.75" customHeight="1">
      <c r="A19" s="1">
        <v>46.0</v>
      </c>
      <c r="B19" s="2" t="s">
        <v>66</v>
      </c>
      <c r="C19" s="3" t="s">
        <v>24</v>
      </c>
      <c r="D19" s="4"/>
      <c r="E19" s="4"/>
      <c r="F19" s="3" t="s">
        <v>67</v>
      </c>
      <c r="G19" s="4"/>
      <c r="H19" s="4"/>
      <c r="I19" s="4"/>
      <c r="J19" s="4"/>
      <c r="K19" s="4"/>
      <c r="L19" s="4"/>
      <c r="M19" s="4"/>
      <c r="N19" s="4"/>
      <c r="O19" s="4"/>
      <c r="P19" s="4"/>
      <c r="Q19" s="4"/>
      <c r="R19" s="4"/>
      <c r="S19" s="4"/>
      <c r="T19" s="4"/>
      <c r="U19" s="4"/>
      <c r="V19" s="4"/>
      <c r="W19" s="4"/>
      <c r="X19" s="4"/>
      <c r="Y19" s="4"/>
      <c r="Z19" s="4"/>
      <c r="AA19" s="4"/>
      <c r="AB19" s="4"/>
      <c r="AC19" s="5" t="s">
        <v>22</v>
      </c>
    </row>
    <row r="20" ht="15.75" customHeight="1">
      <c r="A20" s="1">
        <v>49.0</v>
      </c>
      <c r="B20" s="2" t="s">
        <v>68</v>
      </c>
      <c r="C20" s="3" t="s">
        <v>69</v>
      </c>
      <c r="D20" s="4"/>
      <c r="E20" s="4"/>
      <c r="F20" s="3" t="s">
        <v>70</v>
      </c>
      <c r="G20" s="3" t="s">
        <v>71</v>
      </c>
      <c r="H20" s="3" t="s">
        <v>72</v>
      </c>
      <c r="I20" s="3" t="s">
        <v>73</v>
      </c>
      <c r="J20" s="3" t="s">
        <v>6</v>
      </c>
      <c r="K20" s="4"/>
      <c r="L20" s="4"/>
      <c r="M20" s="4"/>
      <c r="N20" s="4"/>
      <c r="O20" s="4"/>
      <c r="P20" s="4"/>
      <c r="Q20" s="4"/>
      <c r="R20" s="4"/>
      <c r="S20" s="4"/>
      <c r="T20" s="4"/>
      <c r="U20" s="4"/>
      <c r="V20" s="4"/>
      <c r="W20" s="4"/>
      <c r="X20" s="4"/>
      <c r="Y20" s="4"/>
      <c r="Z20" s="4"/>
      <c r="AA20" s="4"/>
      <c r="AB20" s="4"/>
      <c r="AC20" s="5" t="s">
        <v>7</v>
      </c>
    </row>
    <row r="21" ht="15.75" customHeight="1">
      <c r="A21" s="1">
        <v>50.0</v>
      </c>
      <c r="B21" s="2" t="s">
        <v>74</v>
      </c>
      <c r="C21" s="3" t="s">
        <v>1</v>
      </c>
      <c r="D21" s="4"/>
      <c r="E21" s="4"/>
      <c r="F21" s="3" t="s">
        <v>75</v>
      </c>
      <c r="G21" s="4"/>
      <c r="H21" s="4"/>
      <c r="I21" s="4"/>
      <c r="J21" s="4"/>
      <c r="K21" s="4"/>
      <c r="L21" s="4"/>
      <c r="M21" s="4"/>
      <c r="N21" s="4"/>
      <c r="O21" s="4"/>
      <c r="P21" s="4"/>
      <c r="Q21" s="4"/>
      <c r="R21" s="4"/>
      <c r="S21" s="4"/>
      <c r="T21" s="4"/>
      <c r="U21" s="4"/>
      <c r="V21" s="4"/>
      <c r="W21" s="4"/>
      <c r="X21" s="4"/>
      <c r="Y21" s="4"/>
      <c r="Z21" s="4"/>
      <c r="AA21" s="4"/>
      <c r="AB21" s="4"/>
      <c r="AC21" s="5" t="s">
        <v>43</v>
      </c>
    </row>
    <row r="22" ht="15.75" customHeight="1">
      <c r="A22" s="1">
        <v>52.0</v>
      </c>
      <c r="B22" s="2" t="s">
        <v>76</v>
      </c>
      <c r="C22" s="3" t="s">
        <v>24</v>
      </c>
      <c r="D22" s="4"/>
      <c r="E22" s="4"/>
      <c r="F22" s="3" t="s">
        <v>77</v>
      </c>
      <c r="G22" s="4"/>
      <c r="H22" s="4"/>
      <c r="I22" s="4"/>
      <c r="J22" s="4"/>
      <c r="K22" s="4"/>
      <c r="L22" s="4"/>
      <c r="M22" s="4"/>
      <c r="N22" s="4"/>
      <c r="O22" s="4"/>
      <c r="P22" s="4"/>
      <c r="Q22" s="4"/>
      <c r="R22" s="4"/>
      <c r="S22" s="4"/>
      <c r="T22" s="4"/>
      <c r="U22" s="4"/>
      <c r="V22" s="4"/>
      <c r="W22" s="4"/>
      <c r="X22" s="4"/>
      <c r="Y22" s="4"/>
      <c r="Z22" s="4"/>
      <c r="AA22" s="4"/>
      <c r="AB22" s="4"/>
      <c r="AC22" s="5" t="s">
        <v>22</v>
      </c>
    </row>
    <row r="23" ht="15.75" customHeight="1">
      <c r="A23" s="1">
        <v>53.0</v>
      </c>
      <c r="B23" s="2" t="s">
        <v>78</v>
      </c>
      <c r="C23" s="10" t="s">
        <v>24</v>
      </c>
      <c r="D23" s="4"/>
      <c r="E23" s="4"/>
      <c r="F23" s="3" t="s">
        <v>79</v>
      </c>
      <c r="G23" s="4"/>
      <c r="H23" s="4"/>
      <c r="I23" s="4"/>
      <c r="J23" s="4"/>
      <c r="K23" s="4"/>
      <c r="L23" s="4"/>
      <c r="M23" s="4"/>
      <c r="N23" s="4"/>
      <c r="O23" s="4"/>
      <c r="P23" s="4"/>
      <c r="Q23" s="4"/>
      <c r="R23" s="4"/>
      <c r="S23" s="4"/>
      <c r="T23" s="4"/>
      <c r="U23" s="4"/>
      <c r="V23" s="4"/>
      <c r="W23" s="4"/>
      <c r="X23" s="4"/>
      <c r="Y23" s="4"/>
      <c r="Z23" s="4"/>
      <c r="AA23" s="4"/>
      <c r="AB23" s="4"/>
      <c r="AC23" s="5" t="s">
        <v>43</v>
      </c>
    </row>
    <row r="24" ht="15.75" customHeight="1">
      <c r="A24" s="1">
        <v>54.0</v>
      </c>
      <c r="B24" s="2" t="s">
        <v>80</v>
      </c>
      <c r="C24" s="4"/>
      <c r="D24" s="4"/>
      <c r="E24" s="4"/>
      <c r="F24" s="3" t="s">
        <v>81</v>
      </c>
      <c r="G24" s="4"/>
      <c r="H24" s="4"/>
      <c r="I24" s="4"/>
      <c r="J24" s="4"/>
      <c r="K24" s="4"/>
      <c r="L24" s="4"/>
      <c r="M24" s="4"/>
      <c r="N24" s="4"/>
      <c r="O24" s="4"/>
      <c r="P24" s="4"/>
      <c r="Q24" s="4"/>
      <c r="R24" s="4"/>
      <c r="S24" s="4"/>
      <c r="T24" s="4"/>
      <c r="U24" s="4"/>
      <c r="V24" s="4"/>
      <c r="W24" s="4"/>
      <c r="X24" s="4"/>
      <c r="Y24" s="4"/>
      <c r="Z24" s="4"/>
      <c r="AA24" s="4"/>
      <c r="AB24" s="4"/>
      <c r="AC24" s="5" t="s">
        <v>14</v>
      </c>
    </row>
    <row r="25" ht="15.75" customHeight="1">
      <c r="A25" s="1">
        <v>55.0</v>
      </c>
      <c r="B25" s="2" t="s">
        <v>82</v>
      </c>
      <c r="C25" s="3" t="s">
        <v>24</v>
      </c>
      <c r="D25" s="4"/>
      <c r="E25" s="4"/>
      <c r="F25" s="3" t="s">
        <v>83</v>
      </c>
      <c r="G25" s="4"/>
      <c r="H25" s="4"/>
      <c r="I25" s="4"/>
      <c r="J25" s="4"/>
      <c r="K25" s="4"/>
      <c r="L25" s="4"/>
      <c r="M25" s="4"/>
      <c r="N25" s="4"/>
      <c r="O25" s="4"/>
      <c r="P25" s="4"/>
      <c r="Q25" s="4"/>
      <c r="R25" s="4"/>
      <c r="S25" s="4"/>
      <c r="T25" s="4"/>
      <c r="U25" s="4"/>
      <c r="V25" s="4"/>
      <c r="W25" s="4"/>
      <c r="X25" s="4"/>
      <c r="Y25" s="4"/>
      <c r="Z25" s="4"/>
      <c r="AA25" s="4"/>
      <c r="AB25" s="4"/>
      <c r="AC25" s="5" t="s">
        <v>22</v>
      </c>
    </row>
    <row r="26" ht="15.75" customHeight="1">
      <c r="A26" s="1">
        <v>56.0</v>
      </c>
      <c r="B26" s="2" t="s">
        <v>84</v>
      </c>
      <c r="C26" s="3" t="s">
        <v>85</v>
      </c>
      <c r="D26" s="3" t="s">
        <v>86</v>
      </c>
      <c r="E26" s="4"/>
      <c r="F26" s="3" t="s">
        <v>87</v>
      </c>
      <c r="G26" s="4"/>
      <c r="H26" s="4"/>
      <c r="I26" s="4"/>
      <c r="J26" s="4"/>
      <c r="K26" s="4"/>
      <c r="L26" s="4"/>
      <c r="M26" s="4"/>
      <c r="N26" s="4"/>
      <c r="O26" s="4"/>
      <c r="P26" s="4"/>
      <c r="Q26" s="4"/>
      <c r="R26" s="4"/>
      <c r="S26" s="4"/>
      <c r="T26" s="4"/>
      <c r="U26" s="4"/>
      <c r="V26" s="4"/>
      <c r="W26" s="4"/>
      <c r="X26" s="4"/>
      <c r="Y26" s="4"/>
      <c r="Z26" s="4"/>
      <c r="AA26" s="4"/>
      <c r="AB26" s="4"/>
      <c r="AC26" s="5" t="s">
        <v>22</v>
      </c>
    </row>
    <row r="27" ht="15.75" customHeight="1">
      <c r="A27" s="1">
        <v>57.0</v>
      </c>
      <c r="B27" s="11" t="s">
        <v>88</v>
      </c>
      <c r="C27" s="12" t="s">
        <v>24</v>
      </c>
      <c r="D27" s="12"/>
      <c r="E27" s="13"/>
      <c r="F27" s="12" t="s">
        <v>89</v>
      </c>
      <c r="G27" s="12"/>
      <c r="H27" s="12"/>
      <c r="I27" s="12"/>
      <c r="J27" s="12"/>
      <c r="K27" s="12"/>
      <c r="L27" s="12"/>
      <c r="M27" s="12"/>
      <c r="N27" s="12"/>
      <c r="O27" s="12"/>
      <c r="P27" s="12"/>
      <c r="Q27" s="12"/>
      <c r="R27" s="12"/>
      <c r="S27" s="12"/>
      <c r="T27" s="12"/>
      <c r="U27" s="12"/>
      <c r="V27" s="12"/>
      <c r="W27" s="12"/>
      <c r="X27" s="12"/>
      <c r="Y27" s="12"/>
      <c r="Z27" s="12"/>
      <c r="AA27" s="12"/>
      <c r="AB27" s="12"/>
      <c r="AC27" s="5" t="s">
        <v>22</v>
      </c>
    </row>
    <row r="28" ht="15.75" customHeight="1">
      <c r="A28" s="1">
        <v>58.0</v>
      </c>
      <c r="B28" s="2" t="s">
        <v>90</v>
      </c>
      <c r="C28" s="3" t="s">
        <v>24</v>
      </c>
      <c r="D28" s="4"/>
      <c r="E28" s="4"/>
      <c r="F28" s="3" t="s">
        <v>91</v>
      </c>
      <c r="G28" s="4"/>
      <c r="H28" s="4"/>
      <c r="I28" s="4"/>
      <c r="J28" s="4"/>
      <c r="K28" s="4"/>
      <c r="L28" s="4"/>
      <c r="M28" s="4"/>
      <c r="N28" s="4"/>
      <c r="O28" s="4"/>
      <c r="P28" s="4"/>
      <c r="Q28" s="4"/>
      <c r="R28" s="4"/>
      <c r="S28" s="4"/>
      <c r="T28" s="4"/>
      <c r="U28" s="4"/>
      <c r="V28" s="4"/>
      <c r="W28" s="4"/>
      <c r="X28" s="4"/>
      <c r="Y28" s="4"/>
      <c r="Z28" s="4"/>
      <c r="AA28" s="4"/>
      <c r="AB28" s="4"/>
      <c r="AC28" s="5" t="s">
        <v>22</v>
      </c>
    </row>
    <row r="29" ht="15.75" customHeight="1">
      <c r="A29" s="1">
        <v>59.0</v>
      </c>
      <c r="B29" s="2" t="s">
        <v>92</v>
      </c>
      <c r="C29" s="3" t="s">
        <v>1</v>
      </c>
      <c r="D29" s="4"/>
      <c r="E29" s="4"/>
      <c r="F29" s="3" t="s">
        <v>93</v>
      </c>
      <c r="G29" s="4"/>
      <c r="H29" s="4"/>
      <c r="I29" s="4"/>
      <c r="J29" s="4"/>
      <c r="K29" s="4"/>
      <c r="L29" s="4"/>
      <c r="M29" s="4"/>
      <c r="N29" s="4"/>
      <c r="O29" s="4"/>
      <c r="P29" s="4"/>
      <c r="Q29" s="4"/>
      <c r="R29" s="4"/>
      <c r="S29" s="4"/>
      <c r="T29" s="4"/>
      <c r="U29" s="4"/>
      <c r="V29" s="4"/>
      <c r="W29" s="4"/>
      <c r="X29" s="4"/>
      <c r="Y29" s="4"/>
      <c r="Z29" s="4"/>
      <c r="AA29" s="4"/>
      <c r="AB29" s="4"/>
      <c r="AC29" s="5" t="s">
        <v>94</v>
      </c>
    </row>
    <row r="30" ht="15.75" customHeight="1">
      <c r="A30" s="1">
        <v>60.0</v>
      </c>
      <c r="B30" s="2" t="s">
        <v>95</v>
      </c>
      <c r="C30" s="3" t="s">
        <v>24</v>
      </c>
      <c r="D30" s="3" t="s">
        <v>96</v>
      </c>
      <c r="E30" s="4"/>
      <c r="F30" s="3" t="s">
        <v>97</v>
      </c>
      <c r="G30" s="4"/>
      <c r="H30" s="4"/>
      <c r="I30" s="4"/>
      <c r="J30" s="4"/>
      <c r="K30" s="4"/>
      <c r="L30" s="4"/>
      <c r="M30" s="4"/>
      <c r="N30" s="4"/>
      <c r="O30" s="4"/>
      <c r="P30" s="4"/>
      <c r="Q30" s="4"/>
      <c r="R30" s="4"/>
      <c r="S30" s="4"/>
      <c r="T30" s="4"/>
      <c r="U30" s="4"/>
      <c r="V30" s="4"/>
      <c r="W30" s="4"/>
      <c r="X30" s="4"/>
      <c r="Y30" s="4"/>
      <c r="Z30" s="4"/>
      <c r="AA30" s="4"/>
      <c r="AB30" s="4"/>
      <c r="AC30" s="5" t="s">
        <v>22</v>
      </c>
    </row>
    <row r="31" ht="15.75" customHeight="1">
      <c r="A31" s="1">
        <v>61.0</v>
      </c>
      <c r="B31" s="2" t="s">
        <v>98</v>
      </c>
      <c r="C31" s="3" t="s">
        <v>1</v>
      </c>
      <c r="D31" s="4"/>
      <c r="E31" s="4"/>
      <c r="F31" s="3" t="s">
        <v>99</v>
      </c>
      <c r="G31" s="4"/>
      <c r="H31" s="4"/>
      <c r="I31" s="4"/>
      <c r="J31" s="4"/>
      <c r="K31" s="4"/>
      <c r="L31" s="4"/>
      <c r="M31" s="4"/>
      <c r="N31" s="4"/>
      <c r="O31" s="4"/>
      <c r="P31" s="4"/>
      <c r="Q31" s="4"/>
      <c r="R31" s="4"/>
      <c r="S31" s="4"/>
      <c r="T31" s="4"/>
      <c r="U31" s="4"/>
      <c r="V31" s="4"/>
      <c r="W31" s="4"/>
      <c r="X31" s="4"/>
      <c r="Y31" s="4"/>
      <c r="Z31" s="4"/>
      <c r="AA31" s="4"/>
      <c r="AB31" s="4"/>
      <c r="AC31" s="5" t="s">
        <v>22</v>
      </c>
    </row>
    <row r="32" ht="15.75" customHeight="1">
      <c r="A32" s="1">
        <v>62.0</v>
      </c>
      <c r="B32" s="2" t="s">
        <v>100</v>
      </c>
      <c r="C32" s="3" t="s">
        <v>1</v>
      </c>
      <c r="D32" s="4"/>
      <c r="E32" s="4"/>
      <c r="F32" s="3" t="s">
        <v>101</v>
      </c>
      <c r="G32" s="4"/>
      <c r="H32" s="4"/>
      <c r="I32" s="4"/>
      <c r="J32" s="4"/>
      <c r="K32" s="4"/>
      <c r="L32" s="4"/>
      <c r="M32" s="4"/>
      <c r="N32" s="4"/>
      <c r="O32" s="4"/>
      <c r="P32" s="4"/>
      <c r="Q32" s="4"/>
      <c r="R32" s="4"/>
      <c r="S32" s="4"/>
      <c r="T32" s="4"/>
      <c r="U32" s="4"/>
      <c r="V32" s="4"/>
      <c r="W32" s="4"/>
      <c r="X32" s="4"/>
      <c r="Y32" s="4"/>
      <c r="Z32" s="4"/>
      <c r="AA32" s="4"/>
      <c r="AB32" s="4"/>
      <c r="AC32" s="5" t="s">
        <v>22</v>
      </c>
    </row>
    <row r="33" ht="15.75" customHeight="1">
      <c r="A33" s="1">
        <v>65.0</v>
      </c>
      <c r="B33" s="2" t="s">
        <v>102</v>
      </c>
      <c r="C33" s="3" t="s">
        <v>27</v>
      </c>
      <c r="D33" s="4"/>
      <c r="E33" s="4"/>
      <c r="F33" s="3" t="s">
        <v>103</v>
      </c>
      <c r="G33" s="4"/>
      <c r="H33" s="4"/>
      <c r="I33" s="4"/>
      <c r="J33" s="4"/>
      <c r="K33" s="4"/>
      <c r="L33" s="4"/>
      <c r="M33" s="4"/>
      <c r="N33" s="4"/>
      <c r="O33" s="4"/>
      <c r="P33" s="4"/>
      <c r="Q33" s="4"/>
      <c r="R33" s="4"/>
      <c r="S33" s="4"/>
      <c r="T33" s="4"/>
      <c r="U33" s="4"/>
      <c r="V33" s="4"/>
      <c r="W33" s="4"/>
      <c r="X33" s="4"/>
      <c r="Y33" s="4"/>
      <c r="Z33" s="4"/>
      <c r="AA33" s="4"/>
      <c r="AB33" s="4"/>
      <c r="AC33" s="5" t="s">
        <v>43</v>
      </c>
    </row>
    <row r="34" ht="15.75" customHeight="1">
      <c r="A34" s="1">
        <v>66.0</v>
      </c>
      <c r="B34" s="2" t="s">
        <v>104</v>
      </c>
      <c r="C34" s="3" t="s">
        <v>1</v>
      </c>
      <c r="D34" s="4"/>
      <c r="E34" s="4"/>
      <c r="F34" s="3" t="s">
        <v>105</v>
      </c>
      <c r="G34" s="3" t="s">
        <v>106</v>
      </c>
      <c r="H34" s="3" t="s">
        <v>107</v>
      </c>
      <c r="I34" s="3" t="s">
        <v>108</v>
      </c>
      <c r="J34" s="3" t="s">
        <v>6</v>
      </c>
      <c r="K34" s="4"/>
      <c r="L34" s="4"/>
      <c r="M34" s="4"/>
      <c r="N34" s="4"/>
      <c r="O34" s="4"/>
      <c r="P34" s="4"/>
      <c r="Q34" s="4"/>
      <c r="R34" s="4"/>
      <c r="S34" s="4"/>
      <c r="T34" s="4"/>
      <c r="U34" s="4"/>
      <c r="V34" s="4"/>
      <c r="W34" s="4"/>
      <c r="X34" s="4"/>
      <c r="Y34" s="4"/>
      <c r="Z34" s="4"/>
      <c r="AA34" s="4"/>
      <c r="AB34" s="4"/>
      <c r="AC34" s="5" t="s">
        <v>7</v>
      </c>
    </row>
    <row r="35" ht="15.75" customHeight="1">
      <c r="A35" s="1">
        <v>69.0</v>
      </c>
      <c r="B35" s="2" t="s">
        <v>109</v>
      </c>
      <c r="C35" s="3" t="s">
        <v>110</v>
      </c>
      <c r="D35" s="4"/>
      <c r="E35" s="4"/>
      <c r="F35" s="3" t="s">
        <v>111</v>
      </c>
      <c r="G35" s="4"/>
      <c r="H35" s="4"/>
      <c r="I35" s="4"/>
      <c r="J35" s="4"/>
      <c r="K35" s="4"/>
      <c r="L35" s="4"/>
      <c r="M35" s="4"/>
      <c r="N35" s="4"/>
      <c r="O35" s="4"/>
      <c r="P35" s="4"/>
      <c r="Q35" s="4"/>
      <c r="R35" s="4"/>
      <c r="S35" s="4"/>
      <c r="T35" s="4"/>
      <c r="U35" s="4"/>
      <c r="V35" s="4"/>
      <c r="W35" s="4"/>
      <c r="X35" s="4"/>
      <c r="Y35" s="4"/>
      <c r="Z35" s="4"/>
      <c r="AA35" s="4"/>
      <c r="AB35" s="4"/>
      <c r="AC35" s="5" t="s">
        <v>22</v>
      </c>
    </row>
    <row r="36" ht="15.75" customHeight="1">
      <c r="A36" s="1">
        <v>70.0</v>
      </c>
      <c r="B36" s="2" t="s">
        <v>112</v>
      </c>
      <c r="C36" s="3" t="s">
        <v>27</v>
      </c>
      <c r="D36" s="3" t="s">
        <v>113</v>
      </c>
      <c r="E36" s="4"/>
      <c r="F36" s="3" t="s">
        <v>114</v>
      </c>
      <c r="G36" s="4"/>
      <c r="H36" s="4"/>
      <c r="I36" s="4"/>
      <c r="J36" s="4"/>
      <c r="K36" s="4"/>
      <c r="L36" s="4"/>
      <c r="M36" s="4"/>
      <c r="N36" s="4"/>
      <c r="O36" s="4"/>
      <c r="P36" s="4"/>
      <c r="Q36" s="4"/>
      <c r="R36" s="4"/>
      <c r="S36" s="4"/>
      <c r="T36" s="4"/>
      <c r="U36" s="4"/>
      <c r="V36" s="4"/>
      <c r="W36" s="4"/>
      <c r="X36" s="4"/>
      <c r="Y36" s="4"/>
      <c r="Z36" s="4"/>
      <c r="AA36" s="4"/>
      <c r="AB36" s="4"/>
      <c r="AC36" s="5" t="s">
        <v>43</v>
      </c>
    </row>
    <row r="37" ht="15.75" customHeight="1">
      <c r="A37" s="1">
        <v>71.0</v>
      </c>
      <c r="B37" s="2" t="s">
        <v>115</v>
      </c>
      <c r="C37" s="3" t="s">
        <v>1</v>
      </c>
      <c r="D37" s="4"/>
      <c r="E37" s="4"/>
      <c r="F37" s="3" t="s">
        <v>116</v>
      </c>
      <c r="G37" s="4"/>
      <c r="H37" s="4"/>
      <c r="I37" s="4"/>
      <c r="J37" s="4"/>
      <c r="K37" s="4"/>
      <c r="L37" s="4"/>
      <c r="M37" s="4"/>
      <c r="N37" s="4"/>
      <c r="O37" s="4"/>
      <c r="P37" s="4"/>
      <c r="Q37" s="4"/>
      <c r="R37" s="4"/>
      <c r="S37" s="4"/>
      <c r="T37" s="4"/>
      <c r="U37" s="4"/>
      <c r="V37" s="4"/>
      <c r="W37" s="4"/>
      <c r="X37" s="4"/>
      <c r="Y37" s="4"/>
      <c r="Z37" s="4"/>
      <c r="AA37" s="4"/>
      <c r="AB37" s="4"/>
      <c r="AC37" s="5" t="s">
        <v>22</v>
      </c>
    </row>
    <row r="38" ht="15.75" customHeight="1">
      <c r="A38" s="1">
        <v>72.0</v>
      </c>
      <c r="B38" s="2" t="s">
        <v>117</v>
      </c>
      <c r="C38" s="3" t="s">
        <v>1</v>
      </c>
      <c r="D38" s="4"/>
      <c r="E38" s="4"/>
      <c r="F38" s="3" t="s">
        <v>118</v>
      </c>
      <c r="G38" s="3" t="s">
        <v>119</v>
      </c>
      <c r="H38" s="3" t="s">
        <v>120</v>
      </c>
      <c r="I38" s="3" t="s">
        <v>121</v>
      </c>
      <c r="J38" s="3" t="s">
        <v>6</v>
      </c>
      <c r="K38" s="4"/>
      <c r="L38" s="4"/>
      <c r="M38" s="4"/>
      <c r="N38" s="4"/>
      <c r="O38" s="4"/>
      <c r="P38" s="4"/>
      <c r="Q38" s="4"/>
      <c r="R38" s="4"/>
      <c r="S38" s="4"/>
      <c r="T38" s="4"/>
      <c r="U38" s="4"/>
      <c r="V38" s="4"/>
      <c r="W38" s="4"/>
      <c r="X38" s="4"/>
      <c r="Y38" s="4"/>
      <c r="Z38" s="4"/>
      <c r="AA38" s="4"/>
      <c r="AB38" s="4"/>
      <c r="AC38" s="5" t="s">
        <v>22</v>
      </c>
    </row>
    <row r="39" ht="15.75" customHeight="1">
      <c r="A39" s="1">
        <v>72.0</v>
      </c>
      <c r="B39" s="2" t="s">
        <v>122</v>
      </c>
      <c r="C39" s="14"/>
      <c r="D39" s="4"/>
      <c r="E39" s="4"/>
      <c r="F39" s="3" t="s">
        <v>123</v>
      </c>
      <c r="G39" s="4"/>
      <c r="H39" s="4"/>
      <c r="I39" s="4"/>
      <c r="J39" s="4"/>
      <c r="K39" s="4"/>
      <c r="L39" s="4"/>
      <c r="M39" s="4"/>
      <c r="N39" s="4"/>
      <c r="O39" s="4"/>
      <c r="P39" s="4"/>
      <c r="Q39" s="4"/>
      <c r="R39" s="4"/>
      <c r="S39" s="4"/>
      <c r="T39" s="4"/>
      <c r="U39" s="4"/>
      <c r="V39" s="4"/>
      <c r="W39" s="4"/>
      <c r="X39" s="4"/>
      <c r="Y39" s="4"/>
      <c r="Z39" s="4"/>
      <c r="AA39" s="4"/>
      <c r="AB39" s="4"/>
      <c r="AC39" s="5" t="s">
        <v>43</v>
      </c>
    </row>
    <row r="40" ht="15.75" customHeight="1">
      <c r="A40" s="7">
        <v>73.0</v>
      </c>
      <c r="B40" s="2" t="s">
        <v>124</v>
      </c>
      <c r="C40" s="8" t="s">
        <v>39</v>
      </c>
      <c r="D40" s="3" t="s">
        <v>125</v>
      </c>
      <c r="E40" s="3" t="s">
        <v>41</v>
      </c>
      <c r="F40" s="3" t="s">
        <v>126</v>
      </c>
      <c r="G40" s="4"/>
      <c r="H40" s="4"/>
      <c r="I40" s="4"/>
      <c r="J40" s="4"/>
      <c r="K40" s="4"/>
      <c r="L40" s="4"/>
      <c r="M40" s="4"/>
      <c r="N40" s="4"/>
      <c r="O40" s="4"/>
      <c r="P40" s="4"/>
      <c r="Q40" s="4"/>
      <c r="R40" s="4"/>
      <c r="S40" s="4"/>
      <c r="T40" s="4"/>
      <c r="U40" s="4"/>
      <c r="V40" s="4"/>
      <c r="W40" s="4"/>
      <c r="X40" s="4"/>
      <c r="Y40" s="4"/>
      <c r="Z40" s="4"/>
      <c r="AA40" s="4"/>
      <c r="AB40" s="4"/>
      <c r="AC40" s="5" t="s">
        <v>22</v>
      </c>
    </row>
    <row r="41" ht="15.75" customHeight="1">
      <c r="A41" s="1">
        <v>75.0</v>
      </c>
      <c r="B41" s="2" t="s">
        <v>127</v>
      </c>
      <c r="C41" s="3" t="s">
        <v>24</v>
      </c>
      <c r="D41" s="4"/>
      <c r="E41" s="4"/>
      <c r="F41" s="3" t="s">
        <v>128</v>
      </c>
      <c r="G41" s="4"/>
      <c r="H41" s="4"/>
      <c r="I41" s="4"/>
      <c r="J41" s="4"/>
      <c r="K41" s="4"/>
      <c r="L41" s="4"/>
      <c r="M41" s="4"/>
      <c r="N41" s="4"/>
      <c r="O41" s="4"/>
      <c r="P41" s="4"/>
      <c r="Q41" s="4"/>
      <c r="R41" s="4"/>
      <c r="S41" s="4"/>
      <c r="T41" s="4"/>
      <c r="U41" s="4"/>
      <c r="V41" s="4"/>
      <c r="W41" s="4"/>
      <c r="X41" s="4"/>
      <c r="Y41" s="4"/>
      <c r="Z41" s="4"/>
      <c r="AA41" s="4"/>
      <c r="AB41" s="4"/>
      <c r="AC41" s="5" t="s">
        <v>22</v>
      </c>
    </row>
    <row r="42" ht="15.75" customHeight="1">
      <c r="A42" s="1">
        <v>78.0</v>
      </c>
      <c r="B42" s="2" t="s">
        <v>129</v>
      </c>
      <c r="C42" s="3" t="s">
        <v>24</v>
      </c>
      <c r="D42" s="3" t="s">
        <v>130</v>
      </c>
      <c r="E42" s="4"/>
      <c r="F42" s="3" t="s">
        <v>131</v>
      </c>
      <c r="G42" s="4"/>
      <c r="H42" s="4"/>
      <c r="I42" s="4"/>
      <c r="J42" s="4"/>
      <c r="K42" s="4"/>
      <c r="L42" s="4"/>
      <c r="M42" s="4"/>
      <c r="N42" s="4"/>
      <c r="O42" s="4"/>
      <c r="P42" s="4"/>
      <c r="Q42" s="4"/>
      <c r="R42" s="4"/>
      <c r="S42" s="4"/>
      <c r="T42" s="4"/>
      <c r="U42" s="4"/>
      <c r="V42" s="4"/>
      <c r="W42" s="4"/>
      <c r="X42" s="4"/>
      <c r="Y42" s="4"/>
      <c r="Z42" s="4"/>
      <c r="AA42" s="4"/>
      <c r="AB42" s="4"/>
      <c r="AC42" s="5" t="s">
        <v>22</v>
      </c>
    </row>
    <row r="43" ht="15.75" customHeight="1">
      <c r="A43" s="1">
        <v>80.0</v>
      </c>
      <c r="B43" s="2" t="s">
        <v>132</v>
      </c>
      <c r="C43" s="3" t="s">
        <v>24</v>
      </c>
      <c r="D43" s="4"/>
      <c r="E43" s="4"/>
      <c r="F43" s="3" t="s">
        <v>133</v>
      </c>
      <c r="G43" s="4"/>
      <c r="H43" s="4"/>
      <c r="I43" s="4"/>
      <c r="J43" s="4"/>
      <c r="K43" s="4"/>
      <c r="L43" s="4"/>
      <c r="M43" s="4"/>
      <c r="N43" s="4"/>
      <c r="O43" s="4"/>
      <c r="P43" s="4"/>
      <c r="Q43" s="4"/>
      <c r="R43" s="4"/>
      <c r="S43" s="4"/>
      <c r="T43" s="4"/>
      <c r="U43" s="4"/>
      <c r="V43" s="4"/>
      <c r="W43" s="4"/>
      <c r="X43" s="4"/>
      <c r="Y43" s="4"/>
      <c r="Z43" s="4"/>
      <c r="AA43" s="4"/>
      <c r="AB43" s="4"/>
      <c r="AC43" s="5" t="s">
        <v>22</v>
      </c>
    </row>
    <row r="44" ht="15.75" customHeight="1">
      <c r="A44" s="1">
        <v>81.0</v>
      </c>
      <c r="B44" s="2" t="s">
        <v>134</v>
      </c>
      <c r="C44" s="3" t="s">
        <v>1</v>
      </c>
      <c r="D44" s="4"/>
      <c r="E44" s="4"/>
      <c r="F44" s="3" t="s">
        <v>135</v>
      </c>
      <c r="G44" s="4"/>
      <c r="H44" s="4"/>
      <c r="I44" s="4"/>
      <c r="J44" s="4"/>
      <c r="K44" s="4"/>
      <c r="L44" s="4"/>
      <c r="M44" s="4"/>
      <c r="N44" s="4"/>
      <c r="O44" s="4"/>
      <c r="P44" s="4"/>
      <c r="Q44" s="4"/>
      <c r="R44" s="4"/>
      <c r="S44" s="4"/>
      <c r="T44" s="4"/>
      <c r="U44" s="4"/>
      <c r="V44" s="4"/>
      <c r="W44" s="4"/>
      <c r="X44" s="4"/>
      <c r="Y44" s="4"/>
      <c r="Z44" s="4"/>
      <c r="AA44" s="4"/>
      <c r="AB44" s="4"/>
      <c r="AC44" s="5" t="s">
        <v>22</v>
      </c>
    </row>
    <row r="45" ht="15.75" customHeight="1">
      <c r="A45" s="1">
        <v>83.0</v>
      </c>
      <c r="B45" s="2" t="s">
        <v>136</v>
      </c>
      <c r="C45" s="3" t="s">
        <v>137</v>
      </c>
      <c r="D45" s="3" t="s">
        <v>138</v>
      </c>
      <c r="E45" s="4"/>
      <c r="F45" s="3" t="s">
        <v>139</v>
      </c>
      <c r="G45" s="4"/>
      <c r="H45" s="4"/>
      <c r="I45" s="4"/>
      <c r="J45" s="4"/>
      <c r="K45" s="4"/>
      <c r="L45" s="4"/>
      <c r="M45" s="4"/>
      <c r="N45" s="4"/>
      <c r="O45" s="4"/>
      <c r="P45" s="4"/>
      <c r="Q45" s="4"/>
      <c r="R45" s="4"/>
      <c r="S45" s="4"/>
      <c r="T45" s="4"/>
      <c r="U45" s="4"/>
      <c r="V45" s="4"/>
      <c r="W45" s="4"/>
      <c r="X45" s="4"/>
      <c r="Y45" s="4"/>
      <c r="Z45" s="4"/>
      <c r="AA45" s="4"/>
      <c r="AB45" s="4"/>
      <c r="AC45" s="5" t="s">
        <v>22</v>
      </c>
    </row>
    <row r="46" ht="15.75" customHeight="1">
      <c r="A46" s="1">
        <v>84.0</v>
      </c>
      <c r="B46" s="2" t="s">
        <v>140</v>
      </c>
      <c r="C46" s="3" t="s">
        <v>69</v>
      </c>
      <c r="D46" s="4"/>
      <c r="E46" s="4"/>
      <c r="F46" s="3" t="s">
        <v>141</v>
      </c>
      <c r="G46" s="3" t="s">
        <v>142</v>
      </c>
      <c r="H46" s="3" t="s">
        <v>143</v>
      </c>
      <c r="I46" s="3" t="s">
        <v>144</v>
      </c>
      <c r="J46" s="3" t="s">
        <v>6</v>
      </c>
      <c r="K46" s="4"/>
      <c r="L46" s="4"/>
      <c r="M46" s="4"/>
      <c r="N46" s="4"/>
      <c r="O46" s="4"/>
      <c r="P46" s="4"/>
      <c r="Q46" s="4"/>
      <c r="R46" s="4"/>
      <c r="S46" s="4"/>
      <c r="T46" s="4"/>
      <c r="U46" s="4"/>
      <c r="V46" s="4"/>
      <c r="W46" s="4"/>
      <c r="X46" s="4"/>
      <c r="Y46" s="4"/>
      <c r="Z46" s="4"/>
      <c r="AA46" s="4"/>
      <c r="AB46" s="4"/>
      <c r="AC46" s="5" t="s">
        <v>7</v>
      </c>
    </row>
    <row r="47" ht="15.75" customHeight="1">
      <c r="A47" s="1">
        <v>85.0</v>
      </c>
      <c r="B47" s="2" t="s">
        <v>145</v>
      </c>
      <c r="C47" s="3" t="s">
        <v>24</v>
      </c>
      <c r="D47" s="4"/>
      <c r="E47" s="4"/>
      <c r="F47" s="3" t="s">
        <v>146</v>
      </c>
      <c r="G47" s="3" t="s">
        <v>147</v>
      </c>
      <c r="H47" s="3" t="s">
        <v>147</v>
      </c>
      <c r="I47" s="3" t="s">
        <v>148</v>
      </c>
      <c r="J47" s="3" t="s">
        <v>6</v>
      </c>
      <c r="K47" s="4"/>
      <c r="L47" s="4"/>
      <c r="M47" s="4"/>
      <c r="N47" s="4"/>
      <c r="O47" s="4"/>
      <c r="P47" s="4"/>
      <c r="Q47" s="4"/>
      <c r="R47" s="4"/>
      <c r="S47" s="4"/>
      <c r="T47" s="4"/>
      <c r="U47" s="4"/>
      <c r="V47" s="4"/>
      <c r="W47" s="4"/>
      <c r="X47" s="4"/>
      <c r="Y47" s="4"/>
      <c r="Z47" s="4"/>
      <c r="AA47" s="4"/>
      <c r="AB47" s="4"/>
      <c r="AC47" s="5" t="s">
        <v>7</v>
      </c>
    </row>
    <row r="48" ht="15.75" customHeight="1">
      <c r="A48" s="1">
        <v>86.0</v>
      </c>
      <c r="B48" s="2" t="s">
        <v>149</v>
      </c>
      <c r="C48" s="3" t="s">
        <v>69</v>
      </c>
      <c r="D48" s="4"/>
      <c r="E48" s="4"/>
      <c r="F48" s="3" t="s">
        <v>150</v>
      </c>
      <c r="G48" s="4"/>
      <c r="H48" s="4"/>
      <c r="I48" s="4"/>
      <c r="J48" s="4"/>
      <c r="K48" s="4"/>
      <c r="L48" s="4"/>
      <c r="M48" s="4"/>
      <c r="N48" s="4"/>
      <c r="O48" s="4"/>
      <c r="P48" s="4"/>
      <c r="Q48" s="4"/>
      <c r="R48" s="4"/>
      <c r="S48" s="4"/>
      <c r="T48" s="4"/>
      <c r="U48" s="4"/>
      <c r="V48" s="4"/>
      <c r="W48" s="4"/>
      <c r="X48" s="4"/>
      <c r="Y48" s="4"/>
      <c r="Z48" s="4"/>
      <c r="AA48" s="4"/>
      <c r="AB48" s="4"/>
      <c r="AC48" s="5" t="s">
        <v>22</v>
      </c>
    </row>
    <row r="49" ht="15.75" customHeight="1">
      <c r="A49" s="1">
        <v>87.0</v>
      </c>
      <c r="B49" s="2" t="s">
        <v>151</v>
      </c>
      <c r="C49" s="3" t="s">
        <v>69</v>
      </c>
      <c r="D49" s="4"/>
      <c r="E49" s="4"/>
      <c r="F49" s="3" t="s">
        <v>152</v>
      </c>
      <c r="G49" s="4"/>
      <c r="H49" s="4"/>
      <c r="I49" s="4"/>
      <c r="J49" s="4"/>
      <c r="K49" s="4"/>
      <c r="L49" s="4"/>
      <c r="M49" s="4"/>
      <c r="N49" s="4"/>
      <c r="O49" s="4"/>
      <c r="P49" s="4"/>
      <c r="Q49" s="4"/>
      <c r="R49" s="4"/>
      <c r="S49" s="4"/>
      <c r="T49" s="4"/>
      <c r="U49" s="4"/>
      <c r="V49" s="4"/>
      <c r="W49" s="4"/>
      <c r="X49" s="4"/>
      <c r="Y49" s="4"/>
      <c r="Z49" s="4"/>
      <c r="AA49" s="4"/>
      <c r="AB49" s="4"/>
      <c r="AC49" s="5" t="s">
        <v>22</v>
      </c>
    </row>
    <row r="50" ht="15.75" customHeight="1">
      <c r="A50" s="1">
        <v>89.0</v>
      </c>
      <c r="B50" s="2" t="s">
        <v>153</v>
      </c>
      <c r="C50" s="3" t="s">
        <v>24</v>
      </c>
      <c r="D50" s="4"/>
      <c r="E50" s="4"/>
      <c r="F50" s="3" t="s">
        <v>154</v>
      </c>
      <c r="G50" s="4"/>
      <c r="H50" s="4"/>
      <c r="I50" s="4"/>
      <c r="J50" s="4"/>
      <c r="K50" s="4"/>
      <c r="L50" s="4"/>
      <c r="M50" s="4"/>
      <c r="N50" s="4"/>
      <c r="O50" s="4"/>
      <c r="P50" s="4"/>
      <c r="Q50" s="4"/>
      <c r="R50" s="4"/>
      <c r="S50" s="4"/>
      <c r="T50" s="4"/>
      <c r="U50" s="4"/>
      <c r="V50" s="4"/>
      <c r="W50" s="4"/>
      <c r="X50" s="4"/>
      <c r="Y50" s="4"/>
      <c r="Z50" s="4"/>
      <c r="AA50" s="4"/>
      <c r="AB50" s="4"/>
      <c r="AC50" s="5" t="s">
        <v>43</v>
      </c>
    </row>
    <row r="51" ht="15.75" customHeight="1">
      <c r="A51" s="1">
        <v>90.0</v>
      </c>
      <c r="B51" s="2" t="s">
        <v>155</v>
      </c>
      <c r="C51" s="3" t="s">
        <v>85</v>
      </c>
      <c r="D51" s="3" t="s">
        <v>156</v>
      </c>
      <c r="E51" s="4"/>
      <c r="F51" s="3" t="s">
        <v>157</v>
      </c>
      <c r="G51" s="4"/>
      <c r="H51" s="4"/>
      <c r="I51" s="4"/>
      <c r="J51" s="4"/>
      <c r="K51" s="4"/>
      <c r="L51" s="4"/>
      <c r="M51" s="4"/>
      <c r="N51" s="4"/>
      <c r="O51" s="4"/>
      <c r="P51" s="4"/>
      <c r="Q51" s="4"/>
      <c r="R51" s="4"/>
      <c r="S51" s="4"/>
      <c r="T51" s="4"/>
      <c r="U51" s="4"/>
      <c r="V51" s="4"/>
      <c r="W51" s="4"/>
      <c r="X51" s="4"/>
      <c r="Y51" s="4"/>
      <c r="Z51" s="4"/>
      <c r="AA51" s="4"/>
      <c r="AB51" s="4"/>
      <c r="AC51" s="5" t="s">
        <v>22</v>
      </c>
    </row>
    <row r="52" ht="15.75" customHeight="1">
      <c r="A52" s="1">
        <v>92.0</v>
      </c>
      <c r="B52" s="2" t="s">
        <v>158</v>
      </c>
      <c r="C52" s="12" t="s">
        <v>1</v>
      </c>
      <c r="D52" s="13"/>
      <c r="E52" s="4"/>
      <c r="F52" s="3" t="s">
        <v>159</v>
      </c>
      <c r="G52" s="13"/>
      <c r="H52" s="13"/>
      <c r="I52" s="13"/>
      <c r="J52" s="13"/>
      <c r="K52" s="13"/>
      <c r="L52" s="13"/>
      <c r="M52" s="13"/>
      <c r="N52" s="13"/>
      <c r="O52" s="13"/>
      <c r="P52" s="13"/>
      <c r="Q52" s="13"/>
      <c r="R52" s="13"/>
      <c r="S52" s="13"/>
      <c r="T52" s="13"/>
      <c r="U52" s="13"/>
      <c r="V52" s="13"/>
      <c r="W52" s="13"/>
      <c r="X52" s="13"/>
      <c r="Y52" s="13"/>
      <c r="Z52" s="13"/>
      <c r="AA52" s="13"/>
      <c r="AB52" s="13"/>
      <c r="AC52" s="5" t="s">
        <v>22</v>
      </c>
    </row>
    <row r="53" ht="15.75" customHeight="1">
      <c r="A53" s="1">
        <v>93.0</v>
      </c>
      <c r="B53" s="2" t="s">
        <v>160</v>
      </c>
      <c r="C53" s="3" t="s">
        <v>1</v>
      </c>
      <c r="D53" s="4"/>
      <c r="E53" s="4"/>
      <c r="F53" s="3" t="s">
        <v>161</v>
      </c>
      <c r="G53" s="4"/>
      <c r="H53" s="4"/>
      <c r="I53" s="4"/>
      <c r="J53" s="4"/>
      <c r="K53" s="4"/>
      <c r="L53" s="4"/>
      <c r="M53" s="4"/>
      <c r="N53" s="4"/>
      <c r="O53" s="4"/>
      <c r="P53" s="4"/>
      <c r="Q53" s="4"/>
      <c r="R53" s="4"/>
      <c r="S53" s="4"/>
      <c r="T53" s="4"/>
      <c r="U53" s="4"/>
      <c r="V53" s="4"/>
      <c r="W53" s="4"/>
      <c r="X53" s="4"/>
      <c r="Y53" s="4"/>
      <c r="Z53" s="4"/>
      <c r="AA53" s="4"/>
      <c r="AB53" s="4"/>
      <c r="AC53" s="5" t="s">
        <v>162</v>
      </c>
    </row>
    <row r="54" ht="15.75" customHeight="1">
      <c r="A54" s="1">
        <v>94.0</v>
      </c>
      <c r="B54" s="2" t="s">
        <v>163</v>
      </c>
      <c r="C54" s="3" t="s">
        <v>24</v>
      </c>
      <c r="D54" s="4"/>
      <c r="E54" s="4"/>
      <c r="F54" s="3" t="s">
        <v>164</v>
      </c>
      <c r="G54" s="4"/>
      <c r="H54" s="4"/>
      <c r="I54" s="4"/>
      <c r="J54" s="4"/>
      <c r="K54" s="4"/>
      <c r="L54" s="4"/>
      <c r="M54" s="4"/>
      <c r="N54" s="4"/>
      <c r="O54" s="4"/>
      <c r="P54" s="4"/>
      <c r="Q54" s="4"/>
      <c r="R54" s="4"/>
      <c r="S54" s="4"/>
      <c r="T54" s="4"/>
      <c r="U54" s="4"/>
      <c r="V54" s="4"/>
      <c r="W54" s="4"/>
      <c r="X54" s="4"/>
      <c r="Y54" s="4"/>
      <c r="Z54" s="4"/>
      <c r="AA54" s="4"/>
      <c r="AB54" s="4"/>
      <c r="AC54" s="5" t="s">
        <v>43</v>
      </c>
    </row>
    <row r="55" ht="15.75" customHeight="1">
      <c r="A55" s="7">
        <v>98.0</v>
      </c>
      <c r="B55" s="2" t="s">
        <v>165</v>
      </c>
      <c r="C55" s="8" t="s">
        <v>39</v>
      </c>
      <c r="D55" s="4"/>
      <c r="E55" s="3" t="s">
        <v>41</v>
      </c>
      <c r="F55" s="3" t="s">
        <v>166</v>
      </c>
      <c r="G55" s="4"/>
      <c r="H55" s="4"/>
      <c r="I55" s="4"/>
      <c r="J55" s="4"/>
      <c r="K55" s="4"/>
      <c r="L55" s="4"/>
      <c r="M55" s="4"/>
      <c r="N55" s="4"/>
      <c r="O55" s="4"/>
      <c r="P55" s="4"/>
      <c r="Q55" s="4"/>
      <c r="R55" s="4"/>
      <c r="S55" s="4"/>
      <c r="T55" s="4"/>
      <c r="U55" s="4"/>
      <c r="V55" s="4"/>
      <c r="W55" s="4"/>
      <c r="X55" s="4"/>
      <c r="Y55" s="4"/>
      <c r="Z55" s="4"/>
      <c r="AA55" s="4"/>
      <c r="AB55" s="4"/>
      <c r="AC55" s="5" t="s">
        <v>22</v>
      </c>
    </row>
    <row r="56" ht="15.75" customHeight="1">
      <c r="A56" s="1">
        <v>100.0</v>
      </c>
      <c r="B56" s="2" t="s">
        <v>167</v>
      </c>
      <c r="C56" s="3" t="s">
        <v>24</v>
      </c>
      <c r="D56" s="4"/>
      <c r="E56" s="4"/>
      <c r="F56" s="3" t="s">
        <v>168</v>
      </c>
      <c r="G56" s="4"/>
      <c r="H56" s="4"/>
      <c r="I56" s="4"/>
      <c r="J56" s="4"/>
      <c r="K56" s="4"/>
      <c r="L56" s="4"/>
      <c r="M56" s="4"/>
      <c r="N56" s="4"/>
      <c r="O56" s="4"/>
      <c r="P56" s="4"/>
      <c r="Q56" s="4"/>
      <c r="R56" s="4"/>
      <c r="S56" s="4"/>
      <c r="T56" s="4"/>
      <c r="U56" s="4"/>
      <c r="V56" s="4"/>
      <c r="W56" s="4"/>
      <c r="X56" s="4"/>
      <c r="Y56" s="4"/>
      <c r="Z56" s="4"/>
      <c r="AA56" s="4"/>
      <c r="AB56" s="4"/>
      <c r="AC56" s="5" t="s">
        <v>22</v>
      </c>
    </row>
    <row r="57" ht="15.75" customHeight="1">
      <c r="A57" s="1">
        <v>102.0</v>
      </c>
      <c r="B57" s="2" t="s">
        <v>169</v>
      </c>
      <c r="C57" s="3" t="s">
        <v>27</v>
      </c>
      <c r="D57" s="3" t="s">
        <v>170</v>
      </c>
      <c r="E57" s="4"/>
      <c r="F57" s="3" t="s">
        <v>171</v>
      </c>
      <c r="G57" s="4"/>
      <c r="H57" s="4"/>
      <c r="I57" s="4"/>
      <c r="J57" s="4"/>
      <c r="K57" s="4"/>
      <c r="L57" s="4"/>
      <c r="M57" s="4"/>
      <c r="N57" s="4"/>
      <c r="O57" s="4"/>
      <c r="P57" s="4"/>
      <c r="Q57" s="4"/>
      <c r="R57" s="4"/>
      <c r="S57" s="4"/>
      <c r="T57" s="4"/>
      <c r="U57" s="4"/>
      <c r="V57" s="4"/>
      <c r="W57" s="4"/>
      <c r="X57" s="4"/>
      <c r="Y57" s="4"/>
      <c r="Z57" s="4"/>
      <c r="AA57" s="4"/>
      <c r="AB57" s="4"/>
      <c r="AC57" s="5" t="s">
        <v>22</v>
      </c>
    </row>
    <row r="58" ht="15.75" customHeight="1">
      <c r="A58" s="1">
        <v>103.0</v>
      </c>
      <c r="B58" s="2" t="s">
        <v>172</v>
      </c>
      <c r="C58" s="3" t="s">
        <v>24</v>
      </c>
      <c r="D58" s="4"/>
      <c r="E58" s="4"/>
      <c r="F58" s="3" t="s">
        <v>173</v>
      </c>
      <c r="G58" s="4"/>
      <c r="H58" s="4"/>
      <c r="I58" s="4"/>
      <c r="J58" s="4"/>
      <c r="K58" s="4"/>
      <c r="L58" s="4"/>
      <c r="M58" s="4"/>
      <c r="N58" s="4"/>
      <c r="O58" s="4"/>
      <c r="P58" s="4"/>
      <c r="Q58" s="4"/>
      <c r="R58" s="4"/>
      <c r="S58" s="4"/>
      <c r="T58" s="4"/>
      <c r="U58" s="4"/>
      <c r="V58" s="4"/>
      <c r="W58" s="4"/>
      <c r="X58" s="4"/>
      <c r="Y58" s="4"/>
      <c r="Z58" s="4"/>
      <c r="AA58" s="4"/>
      <c r="AB58" s="4"/>
      <c r="AC58" s="5" t="s">
        <v>22</v>
      </c>
    </row>
    <row r="59" ht="15.75" customHeight="1">
      <c r="A59" s="1">
        <v>103.0</v>
      </c>
      <c r="B59" s="2" t="s">
        <v>174</v>
      </c>
      <c r="C59" s="10"/>
      <c r="D59" s="4"/>
      <c r="E59" s="4"/>
      <c r="F59" s="3" t="s">
        <v>175</v>
      </c>
      <c r="G59" s="4"/>
      <c r="H59" s="4"/>
      <c r="I59" s="4"/>
      <c r="J59" s="4"/>
      <c r="K59" s="4"/>
      <c r="L59" s="4"/>
      <c r="M59" s="4"/>
      <c r="N59" s="4"/>
      <c r="O59" s="4"/>
      <c r="P59" s="4"/>
      <c r="Q59" s="4"/>
      <c r="R59" s="4"/>
      <c r="S59" s="4"/>
      <c r="T59" s="4"/>
      <c r="U59" s="4"/>
      <c r="V59" s="4"/>
      <c r="W59" s="4"/>
      <c r="X59" s="4"/>
      <c r="Y59" s="4"/>
      <c r="Z59" s="4"/>
      <c r="AA59" s="4"/>
      <c r="AB59" s="4"/>
      <c r="AC59" s="5" t="s">
        <v>43</v>
      </c>
    </row>
    <row r="60" ht="15.75" customHeight="1">
      <c r="A60" s="1">
        <v>104.0</v>
      </c>
      <c r="B60" s="2" t="s">
        <v>176</v>
      </c>
      <c r="C60" s="3" t="s">
        <v>85</v>
      </c>
      <c r="D60" s="3" t="s">
        <v>177</v>
      </c>
      <c r="E60" s="4"/>
      <c r="F60" s="3" t="s">
        <v>178</v>
      </c>
      <c r="G60" s="4"/>
      <c r="H60" s="4"/>
      <c r="I60" s="4"/>
      <c r="J60" s="4"/>
      <c r="K60" s="4"/>
      <c r="L60" s="4"/>
      <c r="M60" s="4"/>
      <c r="N60" s="4"/>
      <c r="O60" s="4"/>
      <c r="P60" s="4"/>
      <c r="Q60" s="4"/>
      <c r="R60" s="4"/>
      <c r="S60" s="4"/>
      <c r="T60" s="4"/>
      <c r="U60" s="4"/>
      <c r="V60" s="4"/>
      <c r="W60" s="4"/>
      <c r="X60" s="4"/>
      <c r="Y60" s="4"/>
      <c r="Z60" s="4"/>
      <c r="AA60" s="4"/>
      <c r="AB60" s="4"/>
      <c r="AC60" s="5" t="s">
        <v>22</v>
      </c>
    </row>
    <row r="61" ht="15.75" customHeight="1">
      <c r="A61" s="1">
        <v>106.0</v>
      </c>
      <c r="B61" s="2" t="s">
        <v>179</v>
      </c>
      <c r="C61" s="3" t="s">
        <v>69</v>
      </c>
      <c r="D61" s="4"/>
      <c r="E61" s="4"/>
      <c r="F61" s="3" t="s">
        <v>180</v>
      </c>
      <c r="G61" s="3" t="s">
        <v>181</v>
      </c>
      <c r="H61" s="3" t="s">
        <v>182</v>
      </c>
      <c r="I61" s="3" t="s">
        <v>183</v>
      </c>
      <c r="J61" s="3" t="s">
        <v>6</v>
      </c>
      <c r="K61" s="4"/>
      <c r="L61" s="4"/>
      <c r="M61" s="4"/>
      <c r="N61" s="4"/>
      <c r="O61" s="4"/>
      <c r="P61" s="4"/>
      <c r="Q61" s="4"/>
      <c r="R61" s="4"/>
      <c r="S61" s="4"/>
      <c r="T61" s="4"/>
      <c r="U61" s="4"/>
      <c r="V61" s="4"/>
      <c r="W61" s="4"/>
      <c r="X61" s="4"/>
      <c r="Y61" s="4"/>
      <c r="Z61" s="4"/>
      <c r="AA61" s="4"/>
      <c r="AB61" s="4"/>
      <c r="AC61" s="5" t="s">
        <v>7</v>
      </c>
    </row>
    <row r="62" ht="15.75" customHeight="1">
      <c r="A62" s="1">
        <v>108.0</v>
      </c>
      <c r="B62" s="2" t="s">
        <v>184</v>
      </c>
      <c r="C62" s="3" t="s">
        <v>24</v>
      </c>
      <c r="D62" s="4"/>
      <c r="E62" s="4"/>
      <c r="F62" s="3" t="s">
        <v>185</v>
      </c>
      <c r="G62" s="4"/>
      <c r="H62" s="4"/>
      <c r="I62" s="4"/>
      <c r="J62" s="4"/>
      <c r="K62" s="4"/>
      <c r="L62" s="4"/>
      <c r="M62" s="4"/>
      <c r="N62" s="4"/>
      <c r="O62" s="4"/>
      <c r="P62" s="4"/>
      <c r="Q62" s="4"/>
      <c r="R62" s="4"/>
      <c r="S62" s="4"/>
      <c r="T62" s="4"/>
      <c r="U62" s="4"/>
      <c r="V62" s="4"/>
      <c r="W62" s="4"/>
      <c r="X62" s="4"/>
      <c r="Y62" s="4"/>
      <c r="Z62" s="4"/>
      <c r="AA62" s="4"/>
      <c r="AB62" s="4"/>
      <c r="AC62" s="5" t="s">
        <v>22</v>
      </c>
    </row>
    <row r="63" ht="15.75" customHeight="1">
      <c r="A63" s="1">
        <v>110.0</v>
      </c>
      <c r="B63" s="2" t="s">
        <v>186</v>
      </c>
      <c r="C63" s="3" t="s">
        <v>24</v>
      </c>
      <c r="D63" s="4"/>
      <c r="E63" s="4"/>
      <c r="F63" s="3" t="s">
        <v>187</v>
      </c>
      <c r="G63" s="4"/>
      <c r="H63" s="4"/>
      <c r="I63" s="4"/>
      <c r="J63" s="4"/>
      <c r="K63" s="4"/>
      <c r="L63" s="4"/>
      <c r="M63" s="4"/>
      <c r="N63" s="4"/>
      <c r="O63" s="4"/>
      <c r="P63" s="4"/>
      <c r="Q63" s="4"/>
      <c r="R63" s="4"/>
      <c r="S63" s="4"/>
      <c r="T63" s="4"/>
      <c r="U63" s="4"/>
      <c r="V63" s="4"/>
      <c r="W63" s="4"/>
      <c r="X63" s="4"/>
      <c r="Y63" s="4"/>
      <c r="Z63" s="4"/>
      <c r="AA63" s="4"/>
      <c r="AB63" s="4"/>
      <c r="AC63" s="5" t="s">
        <v>14</v>
      </c>
    </row>
    <row r="64" ht="15.75" customHeight="1">
      <c r="A64" s="1">
        <v>112.0</v>
      </c>
      <c r="B64" s="2" t="s">
        <v>188</v>
      </c>
      <c r="C64" s="3" t="s">
        <v>24</v>
      </c>
      <c r="D64" s="3" t="s">
        <v>189</v>
      </c>
      <c r="E64" s="4"/>
      <c r="F64" s="3" t="s">
        <v>190</v>
      </c>
      <c r="G64" s="4"/>
      <c r="H64" s="4"/>
      <c r="I64" s="4"/>
      <c r="J64" s="4"/>
      <c r="K64" s="4"/>
      <c r="L64" s="4"/>
      <c r="M64" s="4"/>
      <c r="N64" s="4"/>
      <c r="O64" s="4"/>
      <c r="P64" s="4"/>
      <c r="Q64" s="4"/>
      <c r="R64" s="4"/>
      <c r="S64" s="4"/>
      <c r="T64" s="4"/>
      <c r="U64" s="4"/>
      <c r="V64" s="4"/>
      <c r="W64" s="4"/>
      <c r="X64" s="4"/>
      <c r="Y64" s="4"/>
      <c r="Z64" s="4"/>
      <c r="AA64" s="4"/>
      <c r="AB64" s="4"/>
      <c r="AC64" s="5" t="s">
        <v>22</v>
      </c>
    </row>
    <row r="65" ht="15.75" customHeight="1">
      <c r="A65" s="1">
        <v>114.0</v>
      </c>
      <c r="B65" s="2" t="s">
        <v>191</v>
      </c>
      <c r="C65" s="3" t="s">
        <v>24</v>
      </c>
      <c r="D65" s="4"/>
      <c r="E65" s="4"/>
      <c r="F65" s="3" t="s">
        <v>192</v>
      </c>
      <c r="G65" s="4"/>
      <c r="H65" s="4"/>
      <c r="I65" s="4"/>
      <c r="J65" s="4"/>
      <c r="K65" s="4"/>
      <c r="L65" s="4"/>
      <c r="M65" s="4"/>
      <c r="N65" s="4"/>
      <c r="O65" s="4"/>
      <c r="P65" s="4"/>
      <c r="Q65" s="4"/>
      <c r="R65" s="4"/>
      <c r="S65" s="4"/>
      <c r="T65" s="4"/>
      <c r="U65" s="4"/>
      <c r="V65" s="4"/>
      <c r="W65" s="4"/>
      <c r="X65" s="4"/>
      <c r="Y65" s="4"/>
      <c r="Z65" s="4"/>
      <c r="AA65" s="4"/>
      <c r="AB65" s="4"/>
      <c r="AC65" s="5" t="s">
        <v>22</v>
      </c>
    </row>
    <row r="66" ht="15.75" customHeight="1">
      <c r="A66" s="1">
        <v>115.0</v>
      </c>
      <c r="B66" s="2" t="s">
        <v>193</v>
      </c>
      <c r="C66" s="3" t="s">
        <v>137</v>
      </c>
      <c r="D66" s="3" t="s">
        <v>194</v>
      </c>
      <c r="E66" s="4"/>
      <c r="F66" s="3" t="s">
        <v>195</v>
      </c>
      <c r="G66" s="3" t="s">
        <v>196</v>
      </c>
      <c r="H66" s="3" t="s">
        <v>197</v>
      </c>
      <c r="I66" s="3" t="s">
        <v>198</v>
      </c>
      <c r="J66" s="3" t="s">
        <v>6</v>
      </c>
      <c r="K66" s="4"/>
      <c r="L66" s="4"/>
      <c r="M66" s="4"/>
      <c r="N66" s="4"/>
      <c r="O66" s="4"/>
      <c r="P66" s="4"/>
      <c r="Q66" s="4"/>
      <c r="R66" s="4"/>
      <c r="S66" s="4"/>
      <c r="T66" s="4"/>
      <c r="U66" s="4"/>
      <c r="V66" s="4"/>
      <c r="W66" s="4"/>
      <c r="X66" s="4"/>
      <c r="Y66" s="4"/>
      <c r="Z66" s="4"/>
      <c r="AA66" s="4"/>
      <c r="AB66" s="4"/>
      <c r="AC66" s="5" t="s">
        <v>7</v>
      </c>
    </row>
    <row r="67" ht="15.75" customHeight="1">
      <c r="A67" s="1">
        <v>118.0</v>
      </c>
      <c r="B67" s="2" t="s">
        <v>199</v>
      </c>
      <c r="C67" s="3" t="s">
        <v>1</v>
      </c>
      <c r="D67" s="4"/>
      <c r="E67" s="4"/>
      <c r="F67" s="3" t="s">
        <v>200</v>
      </c>
      <c r="G67" s="4"/>
      <c r="H67" s="4"/>
      <c r="I67" s="4"/>
      <c r="J67" s="4"/>
      <c r="K67" s="4"/>
      <c r="L67" s="4"/>
      <c r="M67" s="4"/>
      <c r="N67" s="4"/>
      <c r="O67" s="4"/>
      <c r="P67" s="4"/>
      <c r="Q67" s="4"/>
      <c r="R67" s="4"/>
      <c r="S67" s="4"/>
      <c r="T67" s="4"/>
      <c r="U67" s="4"/>
      <c r="V67" s="4"/>
      <c r="W67" s="4"/>
      <c r="X67" s="4"/>
      <c r="Y67" s="4"/>
      <c r="Z67" s="4"/>
      <c r="AA67" s="4"/>
      <c r="AB67" s="4"/>
      <c r="AC67" s="5" t="s">
        <v>22</v>
      </c>
    </row>
    <row r="68" ht="15.75" customHeight="1">
      <c r="A68" s="15">
        <v>119.0</v>
      </c>
      <c r="B68" s="16" t="s">
        <v>201</v>
      </c>
      <c r="C68" s="3" t="s">
        <v>39</v>
      </c>
      <c r="D68" s="4"/>
      <c r="E68" s="3" t="s">
        <v>202</v>
      </c>
      <c r="F68" s="3" t="s">
        <v>203</v>
      </c>
      <c r="G68" s="3" t="s">
        <v>204</v>
      </c>
      <c r="H68" s="3" t="s">
        <v>205</v>
      </c>
      <c r="I68" s="3" t="s">
        <v>206</v>
      </c>
      <c r="J68" s="3" t="s">
        <v>6</v>
      </c>
      <c r="K68" s="4"/>
      <c r="L68" s="4"/>
      <c r="M68" s="4"/>
      <c r="N68" s="4"/>
      <c r="O68" s="4"/>
      <c r="P68" s="4"/>
      <c r="Q68" s="4"/>
      <c r="R68" s="4"/>
      <c r="S68" s="4"/>
      <c r="T68" s="4"/>
      <c r="U68" s="4"/>
      <c r="V68" s="4"/>
      <c r="W68" s="4"/>
      <c r="X68" s="4"/>
      <c r="Y68" s="4"/>
      <c r="Z68" s="4"/>
      <c r="AA68" s="4"/>
      <c r="AB68" s="4"/>
      <c r="AC68" s="5" t="s">
        <v>7</v>
      </c>
    </row>
    <row r="69" ht="15.75" customHeight="1">
      <c r="A69" s="1">
        <v>121.0</v>
      </c>
      <c r="B69" s="2" t="s">
        <v>207</v>
      </c>
      <c r="C69" s="3" t="s">
        <v>24</v>
      </c>
      <c r="D69" s="4"/>
      <c r="E69" s="4"/>
      <c r="F69" s="3" t="s">
        <v>208</v>
      </c>
      <c r="G69" s="4"/>
      <c r="H69" s="4"/>
      <c r="I69" s="4"/>
      <c r="J69" s="4"/>
      <c r="K69" s="4"/>
      <c r="L69" s="4"/>
      <c r="M69" s="4"/>
      <c r="N69" s="4"/>
      <c r="O69" s="4"/>
      <c r="P69" s="4"/>
      <c r="Q69" s="4"/>
      <c r="R69" s="4"/>
      <c r="S69" s="4"/>
      <c r="T69" s="4"/>
      <c r="U69" s="4"/>
      <c r="V69" s="4"/>
      <c r="W69" s="4"/>
      <c r="X69" s="4"/>
      <c r="Y69" s="4"/>
      <c r="Z69" s="4"/>
      <c r="AA69" s="4"/>
      <c r="AB69" s="4"/>
      <c r="AC69" s="5" t="s">
        <v>22</v>
      </c>
    </row>
    <row r="70" ht="15.75" customHeight="1">
      <c r="A70" s="1">
        <v>122.0</v>
      </c>
      <c r="B70" s="2" t="s">
        <v>209</v>
      </c>
      <c r="C70" s="3" t="s">
        <v>1</v>
      </c>
      <c r="D70" s="3"/>
      <c r="E70" s="4"/>
      <c r="F70" s="3" t="s">
        <v>210</v>
      </c>
      <c r="G70" s="3"/>
      <c r="H70" s="3"/>
      <c r="I70" s="3"/>
      <c r="J70" s="3"/>
      <c r="K70" s="3"/>
      <c r="L70" s="3"/>
      <c r="M70" s="3"/>
      <c r="N70" s="3"/>
      <c r="O70" s="3"/>
      <c r="P70" s="3"/>
      <c r="Q70" s="3"/>
      <c r="R70" s="3"/>
      <c r="S70" s="3"/>
      <c r="T70" s="3"/>
      <c r="U70" s="3"/>
      <c r="V70" s="3"/>
      <c r="W70" s="3"/>
      <c r="X70" s="3"/>
      <c r="Y70" s="3"/>
      <c r="Z70" s="3"/>
      <c r="AA70" s="3"/>
      <c r="AB70" s="3"/>
      <c r="AC70" s="5" t="s">
        <v>22</v>
      </c>
    </row>
    <row r="71" ht="15.75" customHeight="1">
      <c r="A71" s="1">
        <v>123.0</v>
      </c>
      <c r="B71" s="2" t="s">
        <v>211</v>
      </c>
      <c r="C71" s="3" t="s">
        <v>1</v>
      </c>
      <c r="D71" s="4"/>
      <c r="E71" s="4"/>
      <c r="F71" s="3" t="s">
        <v>212</v>
      </c>
      <c r="G71" s="4"/>
      <c r="H71" s="4"/>
      <c r="I71" s="4"/>
      <c r="J71" s="4"/>
      <c r="K71" s="4"/>
      <c r="L71" s="4"/>
      <c r="M71" s="4"/>
      <c r="N71" s="4"/>
      <c r="O71" s="4"/>
      <c r="P71" s="4"/>
      <c r="Q71" s="4"/>
      <c r="R71" s="4"/>
      <c r="S71" s="4"/>
      <c r="T71" s="4"/>
      <c r="U71" s="4"/>
      <c r="V71" s="4"/>
      <c r="W71" s="4"/>
      <c r="X71" s="4"/>
      <c r="Y71" s="4"/>
      <c r="Z71" s="4"/>
      <c r="AA71" s="4"/>
      <c r="AB71" s="4"/>
      <c r="AC71" s="5" t="s">
        <v>43</v>
      </c>
    </row>
    <row r="72" ht="15.75" customHeight="1">
      <c r="A72" s="1">
        <v>127.0</v>
      </c>
      <c r="B72" s="2" t="s">
        <v>213</v>
      </c>
      <c r="C72" s="3" t="s">
        <v>56</v>
      </c>
      <c r="D72" s="4"/>
      <c r="E72" s="4"/>
      <c r="F72" s="3" t="s">
        <v>214</v>
      </c>
      <c r="G72" s="4"/>
      <c r="H72" s="4"/>
      <c r="I72" s="4"/>
      <c r="J72" s="4"/>
      <c r="K72" s="4"/>
      <c r="L72" s="4"/>
      <c r="M72" s="4"/>
      <c r="N72" s="4"/>
      <c r="O72" s="4"/>
      <c r="P72" s="4"/>
      <c r="Q72" s="4"/>
      <c r="R72" s="4"/>
      <c r="S72" s="4"/>
      <c r="T72" s="4"/>
      <c r="U72" s="4"/>
      <c r="V72" s="4"/>
      <c r="W72" s="4"/>
      <c r="X72" s="4"/>
      <c r="Y72" s="4"/>
      <c r="Z72" s="4"/>
      <c r="AA72" s="4"/>
      <c r="AB72" s="4"/>
      <c r="AC72" s="5" t="s">
        <v>22</v>
      </c>
    </row>
    <row r="73" ht="15.75" customHeight="1">
      <c r="A73" s="1">
        <v>129.0</v>
      </c>
      <c r="B73" s="2" t="s">
        <v>215</v>
      </c>
      <c r="C73" s="3" t="s">
        <v>1</v>
      </c>
      <c r="D73" s="3"/>
      <c r="E73" s="3"/>
      <c r="F73" s="3" t="s">
        <v>216</v>
      </c>
      <c r="G73" s="3"/>
      <c r="H73" s="3"/>
      <c r="I73" s="3"/>
      <c r="J73" s="3"/>
      <c r="K73" s="3"/>
      <c r="L73" s="3"/>
      <c r="M73" s="3"/>
      <c r="N73" s="3"/>
      <c r="O73" s="3"/>
      <c r="P73" s="3"/>
      <c r="Q73" s="3"/>
      <c r="R73" s="3"/>
      <c r="S73" s="3"/>
      <c r="T73" s="3"/>
      <c r="U73" s="3"/>
      <c r="V73" s="3"/>
      <c r="W73" s="3"/>
      <c r="X73" s="3"/>
      <c r="Y73" s="3"/>
      <c r="Z73" s="3"/>
      <c r="AA73" s="3"/>
      <c r="AB73" s="3"/>
      <c r="AC73" s="5" t="s">
        <v>22</v>
      </c>
    </row>
    <row r="74" ht="15.75" customHeight="1">
      <c r="A74" s="1">
        <v>130.0</v>
      </c>
      <c r="B74" s="2" t="s">
        <v>217</v>
      </c>
      <c r="C74" s="3" t="s">
        <v>1</v>
      </c>
      <c r="D74" s="4"/>
      <c r="E74" s="4"/>
      <c r="F74" s="3" t="s">
        <v>218</v>
      </c>
      <c r="G74" s="4"/>
      <c r="H74" s="4"/>
      <c r="I74" s="4"/>
      <c r="J74" s="4"/>
      <c r="K74" s="4"/>
      <c r="L74" s="4"/>
      <c r="M74" s="4"/>
      <c r="N74" s="4"/>
      <c r="O74" s="4"/>
      <c r="P74" s="4"/>
      <c r="Q74" s="4"/>
      <c r="R74" s="4"/>
      <c r="S74" s="4"/>
      <c r="T74" s="4"/>
      <c r="U74" s="4"/>
      <c r="V74" s="4"/>
      <c r="W74" s="4"/>
      <c r="X74" s="4"/>
      <c r="Y74" s="4"/>
      <c r="Z74" s="4"/>
      <c r="AA74" s="4"/>
      <c r="AB74" s="4"/>
      <c r="AC74" s="5" t="s">
        <v>22</v>
      </c>
    </row>
    <row r="75" ht="15.75" customHeight="1">
      <c r="A75" s="7">
        <v>132.0</v>
      </c>
      <c r="B75" s="2" t="s">
        <v>219</v>
      </c>
      <c r="C75" s="8" t="s">
        <v>39</v>
      </c>
      <c r="D75" s="3" t="s">
        <v>220</v>
      </c>
      <c r="E75" s="3" t="s">
        <v>41</v>
      </c>
      <c r="F75" s="3" t="s">
        <v>221</v>
      </c>
      <c r="G75" s="4"/>
      <c r="H75" s="4"/>
      <c r="I75" s="4"/>
      <c r="J75" s="4"/>
      <c r="K75" s="4"/>
      <c r="L75" s="4"/>
      <c r="M75" s="4"/>
      <c r="N75" s="4"/>
      <c r="O75" s="4"/>
      <c r="P75" s="4"/>
      <c r="Q75" s="4"/>
      <c r="R75" s="4"/>
      <c r="S75" s="4"/>
      <c r="T75" s="4"/>
      <c r="U75" s="4"/>
      <c r="V75" s="4"/>
      <c r="W75" s="4"/>
      <c r="X75" s="4"/>
      <c r="Y75" s="4"/>
      <c r="Z75" s="4"/>
      <c r="AA75" s="4"/>
      <c r="AB75" s="4"/>
      <c r="AC75" s="5" t="s">
        <v>22</v>
      </c>
    </row>
    <row r="76" ht="15.75" customHeight="1">
      <c r="A76" s="1">
        <v>133.0</v>
      </c>
      <c r="B76" s="2" t="s">
        <v>222</v>
      </c>
      <c r="C76" s="3" t="s">
        <v>24</v>
      </c>
      <c r="D76" s="3" t="s">
        <v>223</v>
      </c>
      <c r="E76" s="4"/>
      <c r="F76" s="3" t="s">
        <v>224</v>
      </c>
      <c r="G76" s="4"/>
      <c r="H76" s="4"/>
      <c r="I76" s="4"/>
      <c r="J76" s="4"/>
      <c r="K76" s="4"/>
      <c r="L76" s="4"/>
      <c r="M76" s="4"/>
      <c r="N76" s="4"/>
      <c r="O76" s="4"/>
      <c r="P76" s="4"/>
      <c r="Q76" s="4"/>
      <c r="R76" s="4"/>
      <c r="S76" s="4"/>
      <c r="T76" s="4"/>
      <c r="U76" s="4"/>
      <c r="V76" s="4"/>
      <c r="W76" s="4"/>
      <c r="X76" s="4"/>
      <c r="Y76" s="4"/>
      <c r="Z76" s="4"/>
      <c r="AA76" s="4"/>
      <c r="AB76" s="4"/>
      <c r="AC76" s="5" t="s">
        <v>22</v>
      </c>
    </row>
    <row r="77" ht="15.75" customHeight="1">
      <c r="A77" s="1">
        <v>134.0</v>
      </c>
      <c r="B77" s="11" t="s">
        <v>225</v>
      </c>
      <c r="C77" s="12" t="s">
        <v>24</v>
      </c>
      <c r="D77" s="13"/>
      <c r="E77" s="13"/>
      <c r="F77" s="12" t="s">
        <v>226</v>
      </c>
      <c r="G77" s="12" t="s">
        <v>227</v>
      </c>
      <c r="H77" s="12" t="s">
        <v>228</v>
      </c>
      <c r="I77" s="12" t="s">
        <v>229</v>
      </c>
      <c r="J77" s="12" t="s">
        <v>6</v>
      </c>
      <c r="K77" s="13"/>
      <c r="L77" s="13"/>
      <c r="M77" s="13"/>
      <c r="N77" s="13"/>
      <c r="O77" s="13"/>
      <c r="P77" s="13"/>
      <c r="Q77" s="13"/>
      <c r="R77" s="13"/>
      <c r="S77" s="13"/>
      <c r="T77" s="13"/>
      <c r="U77" s="13"/>
      <c r="V77" s="13"/>
      <c r="W77" s="13"/>
      <c r="X77" s="13"/>
      <c r="Y77" s="13"/>
      <c r="Z77" s="13"/>
      <c r="AA77" s="13"/>
      <c r="AB77" s="13"/>
      <c r="AC77" s="5" t="s">
        <v>230</v>
      </c>
    </row>
    <row r="78" ht="15.75" customHeight="1">
      <c r="A78" s="1">
        <v>136.0</v>
      </c>
      <c r="B78" s="2" t="s">
        <v>231</v>
      </c>
      <c r="C78" s="3" t="s">
        <v>137</v>
      </c>
      <c r="D78" s="3" t="s">
        <v>232</v>
      </c>
      <c r="E78" s="4"/>
      <c r="F78" s="3" t="s">
        <v>233</v>
      </c>
      <c r="G78" s="4"/>
      <c r="H78" s="4"/>
      <c r="I78" s="4"/>
      <c r="J78" s="4"/>
      <c r="K78" s="4"/>
      <c r="L78" s="4"/>
      <c r="M78" s="4"/>
      <c r="N78" s="4"/>
      <c r="O78" s="4"/>
      <c r="P78" s="4"/>
      <c r="Q78" s="4"/>
      <c r="R78" s="4"/>
      <c r="S78" s="4"/>
      <c r="T78" s="4"/>
      <c r="U78" s="4"/>
      <c r="V78" s="4"/>
      <c r="W78" s="4"/>
      <c r="X78" s="4"/>
      <c r="Y78" s="4"/>
      <c r="Z78" s="4"/>
      <c r="AA78" s="4"/>
      <c r="AB78" s="4"/>
      <c r="AC78" s="5" t="s">
        <v>22</v>
      </c>
    </row>
    <row r="79" ht="15.75" customHeight="1">
      <c r="A79" s="1">
        <v>137.0</v>
      </c>
      <c r="B79" s="2" t="s">
        <v>234</v>
      </c>
      <c r="C79" s="3" t="s">
        <v>1</v>
      </c>
      <c r="D79" s="4"/>
      <c r="E79" s="4"/>
      <c r="F79" s="3" t="s">
        <v>235</v>
      </c>
      <c r="G79" s="4"/>
      <c r="H79" s="4"/>
      <c r="I79" s="4"/>
      <c r="J79" s="4"/>
      <c r="K79" s="4"/>
      <c r="L79" s="4"/>
      <c r="M79" s="4"/>
      <c r="N79" s="4"/>
      <c r="O79" s="4"/>
      <c r="P79" s="4"/>
      <c r="Q79" s="4"/>
      <c r="R79" s="4"/>
      <c r="S79" s="4"/>
      <c r="T79" s="4"/>
      <c r="U79" s="4"/>
      <c r="V79" s="4"/>
      <c r="W79" s="4"/>
      <c r="X79" s="4"/>
      <c r="Y79" s="4"/>
      <c r="Z79" s="4"/>
      <c r="AA79" s="4"/>
      <c r="AB79" s="4"/>
      <c r="AC79" s="5" t="s">
        <v>22</v>
      </c>
    </row>
    <row r="80" ht="15.75" customHeight="1">
      <c r="A80" s="1">
        <v>138.0</v>
      </c>
      <c r="B80" s="2" t="s">
        <v>236</v>
      </c>
      <c r="C80" s="3" t="s">
        <v>1</v>
      </c>
      <c r="D80" s="4"/>
      <c r="E80" s="4"/>
      <c r="F80" s="3" t="s">
        <v>237</v>
      </c>
      <c r="G80" s="3" t="s">
        <v>238</v>
      </c>
      <c r="H80" s="3" t="s">
        <v>239</v>
      </c>
      <c r="I80" s="3" t="s">
        <v>240</v>
      </c>
      <c r="J80" s="3" t="s">
        <v>6</v>
      </c>
      <c r="K80" s="4"/>
      <c r="L80" s="4"/>
      <c r="M80" s="4"/>
      <c r="N80" s="4"/>
      <c r="O80" s="4"/>
      <c r="P80" s="4"/>
      <c r="Q80" s="4"/>
      <c r="R80" s="4"/>
      <c r="S80" s="4"/>
      <c r="T80" s="4"/>
      <c r="U80" s="4"/>
      <c r="V80" s="4"/>
      <c r="W80" s="4"/>
      <c r="X80" s="4"/>
      <c r="Y80" s="4"/>
      <c r="Z80" s="4"/>
      <c r="AA80" s="4"/>
      <c r="AB80" s="4"/>
      <c r="AC80" s="5" t="s">
        <v>241</v>
      </c>
    </row>
    <row r="81" ht="15.75" customHeight="1">
      <c r="A81" s="1">
        <v>138.0</v>
      </c>
      <c r="B81" s="2" t="s">
        <v>242</v>
      </c>
      <c r="C81" s="3" t="s">
        <v>1</v>
      </c>
      <c r="D81" s="4"/>
      <c r="E81" s="4"/>
      <c r="F81" s="3" t="s">
        <v>237</v>
      </c>
      <c r="G81" s="3" t="s">
        <v>238</v>
      </c>
      <c r="H81" s="3" t="s">
        <v>239</v>
      </c>
      <c r="I81" s="3" t="s">
        <v>243</v>
      </c>
      <c r="J81" s="3" t="s">
        <v>6</v>
      </c>
      <c r="K81" s="4"/>
      <c r="L81" s="4"/>
      <c r="M81" s="4"/>
      <c r="N81" s="4"/>
      <c r="O81" s="4"/>
      <c r="P81" s="4"/>
      <c r="Q81" s="4"/>
      <c r="R81" s="4"/>
      <c r="S81" s="4"/>
      <c r="T81" s="4"/>
      <c r="U81" s="4"/>
      <c r="V81" s="4"/>
      <c r="W81" s="4"/>
      <c r="X81" s="4"/>
      <c r="Y81" s="4"/>
      <c r="Z81" s="4"/>
      <c r="AA81" s="4"/>
      <c r="AB81" s="4"/>
      <c r="AC81" s="5" t="s">
        <v>241</v>
      </c>
    </row>
    <row r="82" ht="15.75" customHeight="1">
      <c r="A82" s="1">
        <v>138.0</v>
      </c>
      <c r="B82" s="2" t="s">
        <v>244</v>
      </c>
      <c r="C82" s="3" t="s">
        <v>1</v>
      </c>
      <c r="D82" s="4"/>
      <c r="E82" s="4"/>
      <c r="F82" s="3" t="s">
        <v>237</v>
      </c>
      <c r="G82" s="3" t="s">
        <v>238</v>
      </c>
      <c r="H82" s="3" t="s">
        <v>239</v>
      </c>
      <c r="I82" s="3" t="s">
        <v>245</v>
      </c>
      <c r="J82" s="3" t="s">
        <v>6</v>
      </c>
      <c r="K82" s="4"/>
      <c r="L82" s="4"/>
      <c r="M82" s="4"/>
      <c r="N82" s="4"/>
      <c r="O82" s="4"/>
      <c r="P82" s="4"/>
      <c r="Q82" s="4"/>
      <c r="R82" s="4"/>
      <c r="S82" s="4"/>
      <c r="T82" s="4"/>
      <c r="U82" s="4"/>
      <c r="V82" s="4"/>
      <c r="W82" s="4"/>
      <c r="X82" s="4"/>
      <c r="Y82" s="4"/>
      <c r="Z82" s="4"/>
      <c r="AA82" s="4"/>
      <c r="AB82" s="4"/>
      <c r="AC82" s="5" t="s">
        <v>241</v>
      </c>
    </row>
    <row r="83" ht="15.75" customHeight="1">
      <c r="A83" s="1">
        <v>139.0</v>
      </c>
      <c r="B83" s="2" t="s">
        <v>246</v>
      </c>
      <c r="C83" s="3" t="s">
        <v>24</v>
      </c>
      <c r="D83" s="4"/>
      <c r="E83" s="4"/>
      <c r="F83" s="3" t="s">
        <v>247</v>
      </c>
      <c r="G83" s="4"/>
      <c r="H83" s="4"/>
      <c r="I83" s="4"/>
      <c r="J83" s="4"/>
      <c r="K83" s="4"/>
      <c r="L83" s="4"/>
      <c r="M83" s="4"/>
      <c r="N83" s="4"/>
      <c r="O83" s="4"/>
      <c r="P83" s="4"/>
      <c r="Q83" s="4"/>
      <c r="R83" s="4"/>
      <c r="S83" s="4"/>
      <c r="T83" s="4"/>
      <c r="U83" s="4"/>
      <c r="V83" s="4"/>
      <c r="W83" s="4"/>
      <c r="X83" s="4"/>
      <c r="Y83" s="4"/>
      <c r="Z83" s="4"/>
      <c r="AA83" s="4"/>
      <c r="AB83" s="4"/>
      <c r="AC83" s="5" t="s">
        <v>22</v>
      </c>
    </row>
    <row r="84" ht="15.75" customHeight="1">
      <c r="A84" s="1">
        <v>141.0</v>
      </c>
      <c r="B84" s="2" t="s">
        <v>248</v>
      </c>
      <c r="C84" s="3" t="s">
        <v>85</v>
      </c>
      <c r="D84" s="3" t="s">
        <v>28</v>
      </c>
      <c r="E84" s="4"/>
      <c r="F84" s="3" t="s">
        <v>249</v>
      </c>
      <c r="G84" s="4"/>
      <c r="H84" s="4"/>
      <c r="I84" s="4"/>
      <c r="J84" s="4"/>
      <c r="K84" s="4"/>
      <c r="L84" s="4"/>
      <c r="M84" s="4"/>
      <c r="N84" s="4"/>
      <c r="O84" s="4"/>
      <c r="P84" s="4"/>
      <c r="Q84" s="4"/>
      <c r="R84" s="4"/>
      <c r="S84" s="4"/>
      <c r="T84" s="4"/>
      <c r="U84" s="4"/>
      <c r="V84" s="4"/>
      <c r="W84" s="4"/>
      <c r="X84" s="4"/>
      <c r="Y84" s="4"/>
      <c r="Z84" s="4"/>
      <c r="AA84" s="4"/>
      <c r="AB84" s="4"/>
      <c r="AC84" s="5" t="s">
        <v>22</v>
      </c>
    </row>
    <row r="85" ht="15.75" customHeight="1">
      <c r="A85" s="1">
        <v>142.0</v>
      </c>
      <c r="B85" s="2" t="s">
        <v>250</v>
      </c>
      <c r="C85" s="3" t="s">
        <v>69</v>
      </c>
      <c r="D85" s="4"/>
      <c r="E85" s="4"/>
      <c r="F85" s="3" t="s">
        <v>251</v>
      </c>
      <c r="G85" s="3" t="s">
        <v>252</v>
      </c>
      <c r="H85" s="3" t="s">
        <v>252</v>
      </c>
      <c r="I85" s="3" t="s">
        <v>253</v>
      </c>
      <c r="J85" s="3" t="s">
        <v>6</v>
      </c>
      <c r="K85" s="4"/>
      <c r="L85" s="4"/>
      <c r="M85" s="4"/>
      <c r="N85" s="4"/>
      <c r="O85" s="4"/>
      <c r="P85" s="4"/>
      <c r="Q85" s="4"/>
      <c r="R85" s="4"/>
      <c r="S85" s="4"/>
      <c r="T85" s="4"/>
      <c r="U85" s="4"/>
      <c r="V85" s="4"/>
      <c r="W85" s="4"/>
      <c r="X85" s="4"/>
      <c r="Y85" s="4"/>
      <c r="Z85" s="4"/>
      <c r="AA85" s="4"/>
      <c r="AB85" s="4"/>
      <c r="AC85" s="5" t="s">
        <v>7</v>
      </c>
    </row>
    <row r="86" ht="15.75" customHeight="1">
      <c r="A86" s="1">
        <v>143.0</v>
      </c>
      <c r="B86" s="2" t="s">
        <v>254</v>
      </c>
      <c r="C86" s="3" t="s">
        <v>1</v>
      </c>
      <c r="D86" s="4"/>
      <c r="E86" s="4"/>
      <c r="F86" s="3" t="s">
        <v>255</v>
      </c>
      <c r="G86" s="3" t="s">
        <v>256</v>
      </c>
      <c r="H86" s="3" t="s">
        <v>257</v>
      </c>
      <c r="I86" s="3" t="s">
        <v>258</v>
      </c>
      <c r="J86" s="3" t="s">
        <v>6</v>
      </c>
      <c r="K86" s="4"/>
      <c r="L86" s="4"/>
      <c r="M86" s="4"/>
      <c r="N86" s="4"/>
      <c r="O86" s="4"/>
      <c r="P86" s="4"/>
      <c r="Q86" s="4"/>
      <c r="R86" s="4"/>
      <c r="S86" s="4"/>
      <c r="T86" s="4"/>
      <c r="U86" s="4"/>
      <c r="V86" s="4"/>
      <c r="W86" s="4"/>
      <c r="X86" s="4"/>
      <c r="Y86" s="4"/>
      <c r="Z86" s="4"/>
      <c r="AA86" s="4"/>
      <c r="AB86" s="4"/>
      <c r="AC86" s="5" t="s">
        <v>7</v>
      </c>
    </row>
    <row r="87" ht="15.75" customHeight="1">
      <c r="A87" s="1">
        <v>144.0</v>
      </c>
      <c r="B87" s="2" t="s">
        <v>259</v>
      </c>
      <c r="C87" s="3" t="s">
        <v>1</v>
      </c>
      <c r="D87" s="4"/>
      <c r="E87" s="4"/>
      <c r="F87" s="3" t="s">
        <v>260</v>
      </c>
      <c r="G87" s="3" t="s">
        <v>261</v>
      </c>
      <c r="H87" s="3" t="s">
        <v>261</v>
      </c>
      <c r="I87" s="3" t="s">
        <v>262</v>
      </c>
      <c r="J87" s="3" t="s">
        <v>6</v>
      </c>
      <c r="K87" s="4"/>
      <c r="L87" s="4"/>
      <c r="M87" s="4"/>
      <c r="N87" s="4"/>
      <c r="O87" s="4"/>
      <c r="P87" s="4"/>
      <c r="Q87" s="4"/>
      <c r="R87" s="4"/>
      <c r="S87" s="4"/>
      <c r="T87" s="4"/>
      <c r="U87" s="4"/>
      <c r="V87" s="4"/>
      <c r="W87" s="4"/>
      <c r="X87" s="4"/>
      <c r="Y87" s="4"/>
      <c r="Z87" s="4"/>
      <c r="AA87" s="4"/>
      <c r="AB87" s="4"/>
      <c r="AC87" s="5" t="s">
        <v>7</v>
      </c>
    </row>
    <row r="88" ht="15.75" customHeight="1">
      <c r="A88" s="17">
        <v>147.0</v>
      </c>
      <c r="B88" s="16" t="s">
        <v>263</v>
      </c>
      <c r="C88" s="3" t="s">
        <v>1</v>
      </c>
      <c r="D88" s="4"/>
      <c r="E88" s="4"/>
      <c r="F88" s="3" t="s">
        <v>264</v>
      </c>
      <c r="G88" s="3" t="s">
        <v>265</v>
      </c>
      <c r="H88" s="3" t="s">
        <v>266</v>
      </c>
      <c r="I88" s="3" t="s">
        <v>267</v>
      </c>
      <c r="J88" s="3" t="s">
        <v>6</v>
      </c>
      <c r="K88" s="4"/>
      <c r="L88" s="4"/>
      <c r="M88" s="4"/>
      <c r="N88" s="4"/>
      <c r="O88" s="4"/>
      <c r="P88" s="4"/>
      <c r="Q88" s="4"/>
      <c r="R88" s="4"/>
      <c r="S88" s="4"/>
      <c r="T88" s="4"/>
      <c r="U88" s="4"/>
      <c r="V88" s="4"/>
      <c r="W88" s="4"/>
      <c r="X88" s="4"/>
      <c r="Y88" s="4"/>
      <c r="Z88" s="4"/>
      <c r="AA88" s="4"/>
      <c r="AB88" s="4"/>
      <c r="AC88" s="5" t="s">
        <v>7</v>
      </c>
    </row>
    <row r="89" ht="15.75" customHeight="1">
      <c r="A89" s="1">
        <v>148.0</v>
      </c>
      <c r="B89" s="2" t="s">
        <v>268</v>
      </c>
      <c r="C89" s="3" t="s">
        <v>1</v>
      </c>
      <c r="D89" s="3" t="s">
        <v>269</v>
      </c>
      <c r="E89" s="4"/>
      <c r="F89" s="3" t="s">
        <v>270</v>
      </c>
      <c r="G89" s="3"/>
      <c r="H89" s="3"/>
      <c r="I89" s="3"/>
      <c r="J89" s="3"/>
      <c r="K89" s="3"/>
      <c r="L89" s="3"/>
      <c r="M89" s="3"/>
      <c r="N89" s="3"/>
      <c r="O89" s="3"/>
      <c r="P89" s="3"/>
      <c r="Q89" s="3"/>
      <c r="R89" s="3"/>
      <c r="S89" s="3"/>
      <c r="T89" s="3"/>
      <c r="U89" s="3"/>
      <c r="V89" s="3"/>
      <c r="W89" s="3"/>
      <c r="X89" s="3"/>
      <c r="Y89" s="3"/>
      <c r="Z89" s="3"/>
      <c r="AA89" s="3"/>
      <c r="AB89" s="3"/>
      <c r="AC89" s="5" t="s">
        <v>43</v>
      </c>
    </row>
    <row r="90" ht="15.75" customHeight="1">
      <c r="A90" s="1">
        <v>149.0</v>
      </c>
      <c r="B90" s="2" t="s">
        <v>271</v>
      </c>
      <c r="C90" s="3" t="s">
        <v>137</v>
      </c>
      <c r="D90" s="3" t="s">
        <v>272</v>
      </c>
      <c r="E90" s="4"/>
      <c r="F90" s="3" t="s">
        <v>273</v>
      </c>
      <c r="G90" s="3" t="s">
        <v>274</v>
      </c>
      <c r="H90" s="3" t="s">
        <v>274</v>
      </c>
      <c r="I90" s="3" t="s">
        <v>275</v>
      </c>
      <c r="J90" s="3" t="s">
        <v>6</v>
      </c>
      <c r="K90" s="4"/>
      <c r="L90" s="4"/>
      <c r="M90" s="4"/>
      <c r="N90" s="4"/>
      <c r="O90" s="4"/>
      <c r="P90" s="4"/>
      <c r="Q90" s="4"/>
      <c r="R90" s="4"/>
      <c r="S90" s="4"/>
      <c r="T90" s="4"/>
      <c r="U90" s="4"/>
      <c r="V90" s="4"/>
      <c r="W90" s="4"/>
      <c r="X90" s="4"/>
      <c r="Y90" s="4"/>
      <c r="Z90" s="4"/>
      <c r="AA90" s="4"/>
      <c r="AB90" s="4"/>
      <c r="AC90" s="5" t="s">
        <v>7</v>
      </c>
    </row>
    <row r="91" ht="15.75" customHeight="1">
      <c r="A91" s="1">
        <v>152.0</v>
      </c>
      <c r="B91" s="2" t="s">
        <v>276</v>
      </c>
      <c r="C91" s="4"/>
      <c r="D91" s="4"/>
      <c r="E91" s="4"/>
      <c r="F91" s="3" t="s">
        <v>277</v>
      </c>
      <c r="G91" s="4"/>
      <c r="H91" s="4"/>
      <c r="I91" s="4"/>
      <c r="J91" s="4"/>
      <c r="K91" s="4"/>
      <c r="L91" s="4"/>
      <c r="M91" s="4"/>
      <c r="N91" s="4"/>
      <c r="O91" s="4"/>
      <c r="P91" s="4"/>
      <c r="Q91" s="4"/>
      <c r="R91" s="4"/>
      <c r="S91" s="4"/>
      <c r="T91" s="4"/>
      <c r="U91" s="4"/>
      <c r="V91" s="4"/>
      <c r="W91" s="4"/>
      <c r="X91" s="4"/>
      <c r="Y91" s="4"/>
      <c r="Z91" s="4"/>
      <c r="AA91" s="4"/>
      <c r="AB91" s="4"/>
      <c r="AC91" s="5" t="s">
        <v>43</v>
      </c>
    </row>
    <row r="92" ht="15.75" customHeight="1">
      <c r="A92" s="1">
        <v>155.0</v>
      </c>
      <c r="B92" s="2" t="s">
        <v>278</v>
      </c>
      <c r="C92" s="3" t="s">
        <v>24</v>
      </c>
      <c r="D92" s="4"/>
      <c r="E92" s="4"/>
      <c r="F92" s="3" t="s">
        <v>279</v>
      </c>
      <c r="G92" s="4"/>
      <c r="H92" s="4"/>
      <c r="I92" s="4"/>
      <c r="J92" s="4"/>
      <c r="K92" s="4"/>
      <c r="L92" s="4"/>
      <c r="M92" s="4"/>
      <c r="N92" s="4"/>
      <c r="O92" s="4"/>
      <c r="P92" s="4"/>
      <c r="Q92" s="4"/>
      <c r="R92" s="4"/>
      <c r="S92" s="4"/>
      <c r="T92" s="4"/>
      <c r="U92" s="4"/>
      <c r="V92" s="4"/>
      <c r="W92" s="4"/>
      <c r="X92" s="4"/>
      <c r="Y92" s="4"/>
      <c r="Z92" s="4"/>
      <c r="AA92" s="4"/>
      <c r="AB92" s="4"/>
      <c r="AC92" s="5" t="s">
        <v>22</v>
      </c>
    </row>
    <row r="93" ht="15.75" customHeight="1">
      <c r="A93" s="1">
        <v>156.0</v>
      </c>
      <c r="B93" s="2" t="s">
        <v>280</v>
      </c>
      <c r="C93" s="3" t="s">
        <v>85</v>
      </c>
      <c r="D93" s="3" t="s">
        <v>281</v>
      </c>
      <c r="E93" s="4"/>
      <c r="F93" s="3" t="s">
        <v>282</v>
      </c>
      <c r="G93" s="4"/>
      <c r="H93" s="4"/>
      <c r="I93" s="4"/>
      <c r="J93" s="4"/>
      <c r="K93" s="4"/>
      <c r="L93" s="4"/>
      <c r="M93" s="4"/>
      <c r="N93" s="4"/>
      <c r="O93" s="4"/>
      <c r="P93" s="4"/>
      <c r="Q93" s="4"/>
      <c r="R93" s="4"/>
      <c r="S93" s="4"/>
      <c r="T93" s="4"/>
      <c r="U93" s="4"/>
      <c r="V93" s="4"/>
      <c r="W93" s="4"/>
      <c r="X93" s="4"/>
      <c r="Y93" s="4"/>
      <c r="Z93" s="4"/>
      <c r="AA93" s="4"/>
      <c r="AB93" s="4"/>
      <c r="AC93" s="5" t="s">
        <v>22</v>
      </c>
    </row>
    <row r="94" ht="15.75" customHeight="1">
      <c r="A94" s="1">
        <v>157.0</v>
      </c>
      <c r="B94" s="2" t="s">
        <v>283</v>
      </c>
      <c r="C94" s="3" t="s">
        <v>24</v>
      </c>
      <c r="D94" s="3" t="s">
        <v>284</v>
      </c>
      <c r="E94" s="4"/>
      <c r="F94" s="3" t="s">
        <v>285</v>
      </c>
      <c r="G94" s="4"/>
      <c r="H94" s="4"/>
      <c r="I94" s="4"/>
      <c r="J94" s="4"/>
      <c r="K94" s="4"/>
      <c r="L94" s="4"/>
      <c r="M94" s="4"/>
      <c r="N94" s="4"/>
      <c r="O94" s="4"/>
      <c r="P94" s="4"/>
      <c r="Q94" s="4"/>
      <c r="R94" s="4"/>
      <c r="S94" s="4"/>
      <c r="T94" s="4"/>
      <c r="U94" s="4"/>
      <c r="V94" s="4"/>
      <c r="W94" s="4"/>
      <c r="X94" s="4"/>
      <c r="Y94" s="4"/>
      <c r="Z94" s="4"/>
      <c r="AA94" s="4"/>
      <c r="AB94" s="4"/>
      <c r="AC94" s="5" t="s">
        <v>22</v>
      </c>
    </row>
    <row r="95" ht="15.75" customHeight="1">
      <c r="A95" s="7">
        <v>158.0</v>
      </c>
      <c r="B95" s="2" t="s">
        <v>286</v>
      </c>
      <c r="C95" s="8" t="s">
        <v>39</v>
      </c>
      <c r="D95" s="3" t="s">
        <v>189</v>
      </c>
      <c r="E95" s="3" t="s">
        <v>287</v>
      </c>
      <c r="F95" s="3" t="s">
        <v>288</v>
      </c>
      <c r="G95" s="4"/>
      <c r="H95" s="4"/>
      <c r="I95" s="4"/>
      <c r="J95" s="4"/>
      <c r="K95" s="4"/>
      <c r="L95" s="4"/>
      <c r="M95" s="4"/>
      <c r="N95" s="4"/>
      <c r="O95" s="4"/>
      <c r="P95" s="4"/>
      <c r="Q95" s="4"/>
      <c r="R95" s="4"/>
      <c r="S95" s="4"/>
      <c r="T95" s="4"/>
      <c r="U95" s="4"/>
      <c r="V95" s="4"/>
      <c r="W95" s="4"/>
      <c r="X95" s="4"/>
      <c r="Y95" s="4"/>
      <c r="Z95" s="4"/>
      <c r="AA95" s="4"/>
      <c r="AB95" s="4"/>
      <c r="AC95" s="5" t="s">
        <v>22</v>
      </c>
    </row>
    <row r="96" ht="15.75" customHeight="1">
      <c r="A96" s="1">
        <v>159.0</v>
      </c>
      <c r="B96" s="2" t="s">
        <v>289</v>
      </c>
      <c r="C96" s="3" t="s">
        <v>24</v>
      </c>
      <c r="D96" s="4"/>
      <c r="E96" s="4"/>
      <c r="F96" s="3" t="s">
        <v>290</v>
      </c>
      <c r="G96" s="3" t="s">
        <v>291</v>
      </c>
      <c r="H96" s="3" t="s">
        <v>292</v>
      </c>
      <c r="I96" s="3" t="s">
        <v>293</v>
      </c>
      <c r="J96" s="3" t="s">
        <v>6</v>
      </c>
      <c r="K96" s="4"/>
      <c r="L96" s="4"/>
      <c r="M96" s="4"/>
      <c r="N96" s="4"/>
      <c r="O96" s="4"/>
      <c r="P96" s="4"/>
      <c r="Q96" s="4"/>
      <c r="R96" s="4"/>
      <c r="S96" s="4"/>
      <c r="T96" s="4"/>
      <c r="U96" s="4"/>
      <c r="V96" s="4"/>
      <c r="W96" s="4"/>
      <c r="X96" s="4"/>
      <c r="Y96" s="4"/>
      <c r="Z96" s="4"/>
      <c r="AA96" s="4"/>
      <c r="AB96" s="4"/>
      <c r="AC96" s="5" t="s">
        <v>294</v>
      </c>
    </row>
    <row r="97" ht="15.75" customHeight="1">
      <c r="A97" s="1">
        <v>159.0</v>
      </c>
      <c r="B97" s="2" t="s">
        <v>295</v>
      </c>
      <c r="C97" s="3" t="s">
        <v>296</v>
      </c>
      <c r="D97" s="3"/>
      <c r="E97" s="3"/>
      <c r="F97" s="3" t="s">
        <v>290</v>
      </c>
      <c r="G97" s="3"/>
      <c r="H97" s="3"/>
      <c r="I97" s="3"/>
      <c r="J97" s="3"/>
      <c r="K97" s="3"/>
      <c r="L97" s="3"/>
      <c r="M97" s="3"/>
      <c r="N97" s="3"/>
      <c r="O97" s="3"/>
      <c r="P97" s="3"/>
      <c r="Q97" s="3"/>
      <c r="R97" s="3"/>
      <c r="S97" s="3"/>
      <c r="T97" s="3"/>
      <c r="U97" s="3"/>
      <c r="V97" s="3"/>
      <c r="W97" s="3"/>
      <c r="X97" s="3"/>
      <c r="Y97" s="3"/>
      <c r="Z97" s="3"/>
      <c r="AA97" s="3"/>
      <c r="AB97" s="3"/>
      <c r="AC97" s="5" t="s">
        <v>294</v>
      </c>
    </row>
    <row r="98" ht="15.75" customHeight="1">
      <c r="A98" s="1">
        <v>160.0</v>
      </c>
      <c r="B98" s="2" t="s">
        <v>297</v>
      </c>
      <c r="C98" s="3" t="s">
        <v>24</v>
      </c>
      <c r="D98" s="3" t="s">
        <v>298</v>
      </c>
      <c r="E98" s="4"/>
      <c r="F98" s="3" t="s">
        <v>299</v>
      </c>
      <c r="G98" s="3" t="s">
        <v>300</v>
      </c>
      <c r="H98" s="3" t="s">
        <v>301</v>
      </c>
      <c r="I98" s="3" t="s">
        <v>302</v>
      </c>
      <c r="J98" s="3" t="s">
        <v>6</v>
      </c>
      <c r="K98" s="4"/>
      <c r="L98" s="4"/>
      <c r="M98" s="4"/>
      <c r="N98" s="4"/>
      <c r="O98" s="4"/>
      <c r="P98" s="4"/>
      <c r="Q98" s="4"/>
      <c r="R98" s="4"/>
      <c r="S98" s="4"/>
      <c r="T98" s="4"/>
      <c r="U98" s="4"/>
      <c r="V98" s="4"/>
      <c r="W98" s="4"/>
      <c r="X98" s="4"/>
      <c r="Y98" s="4"/>
      <c r="Z98" s="4"/>
      <c r="AA98" s="4"/>
      <c r="AB98" s="4"/>
      <c r="AC98" s="5" t="s">
        <v>7</v>
      </c>
    </row>
    <row r="99" ht="15.75" customHeight="1">
      <c r="A99" s="1">
        <v>161.0</v>
      </c>
      <c r="B99" s="2" t="s">
        <v>303</v>
      </c>
      <c r="C99" s="3" t="s">
        <v>24</v>
      </c>
      <c r="D99" s="4"/>
      <c r="E99" s="4"/>
      <c r="F99" s="3" t="s">
        <v>304</v>
      </c>
      <c r="G99" s="4"/>
      <c r="H99" s="4"/>
      <c r="I99" s="4"/>
      <c r="J99" s="4"/>
      <c r="K99" s="4"/>
      <c r="L99" s="4"/>
      <c r="M99" s="4"/>
      <c r="N99" s="4"/>
      <c r="O99" s="4"/>
      <c r="P99" s="4"/>
      <c r="Q99" s="4"/>
      <c r="R99" s="4"/>
      <c r="S99" s="4"/>
      <c r="T99" s="4"/>
      <c r="U99" s="4"/>
      <c r="V99" s="4"/>
      <c r="W99" s="4"/>
      <c r="X99" s="4"/>
      <c r="Y99" s="4"/>
      <c r="Z99" s="4"/>
      <c r="AA99" s="4"/>
      <c r="AB99" s="4"/>
      <c r="AC99" s="5" t="s">
        <v>162</v>
      </c>
    </row>
    <row r="100" ht="15.75" customHeight="1">
      <c r="A100" s="1">
        <v>162.0</v>
      </c>
      <c r="B100" s="2" t="s">
        <v>305</v>
      </c>
      <c r="C100" s="3" t="s">
        <v>27</v>
      </c>
      <c r="D100" s="3" t="s">
        <v>194</v>
      </c>
      <c r="E100" s="4"/>
      <c r="F100" s="3" t="s">
        <v>306</v>
      </c>
      <c r="G100" s="4"/>
      <c r="H100" s="4"/>
      <c r="I100" s="4"/>
      <c r="J100" s="4"/>
      <c r="K100" s="4"/>
      <c r="L100" s="4"/>
      <c r="M100" s="4"/>
      <c r="N100" s="4"/>
      <c r="O100" s="4"/>
      <c r="P100" s="4"/>
      <c r="Q100" s="4"/>
      <c r="R100" s="4"/>
      <c r="S100" s="4"/>
      <c r="T100" s="4"/>
      <c r="U100" s="4"/>
      <c r="V100" s="4"/>
      <c r="W100" s="4"/>
      <c r="X100" s="4"/>
      <c r="Y100" s="4"/>
      <c r="Z100" s="4"/>
      <c r="AA100" s="4"/>
      <c r="AB100" s="4"/>
      <c r="AC100" s="5" t="s">
        <v>22</v>
      </c>
    </row>
    <row r="101" ht="15.75" customHeight="1">
      <c r="A101" s="1">
        <v>163.0</v>
      </c>
      <c r="B101" s="2" t="s">
        <v>307</v>
      </c>
      <c r="C101" s="3" t="s">
        <v>24</v>
      </c>
      <c r="D101" s="4"/>
      <c r="E101" s="4"/>
      <c r="F101" s="3" t="s">
        <v>308</v>
      </c>
      <c r="G101" s="4"/>
      <c r="H101" s="4"/>
      <c r="I101" s="4"/>
      <c r="J101" s="4"/>
      <c r="K101" s="4"/>
      <c r="L101" s="4"/>
      <c r="M101" s="4"/>
      <c r="N101" s="4"/>
      <c r="O101" s="4"/>
      <c r="P101" s="4"/>
      <c r="Q101" s="4"/>
      <c r="R101" s="4"/>
      <c r="S101" s="4"/>
      <c r="T101" s="4"/>
      <c r="U101" s="4"/>
      <c r="V101" s="4"/>
      <c r="W101" s="4"/>
      <c r="X101" s="4"/>
      <c r="Y101" s="4"/>
      <c r="Z101" s="4"/>
      <c r="AA101" s="4"/>
      <c r="AB101" s="4"/>
      <c r="AC101" s="5" t="s">
        <v>94</v>
      </c>
    </row>
    <row r="102" ht="15.75" customHeight="1">
      <c r="A102" s="1">
        <v>166.0</v>
      </c>
      <c r="B102" s="2" t="s">
        <v>309</v>
      </c>
      <c r="C102" s="12" t="s">
        <v>24</v>
      </c>
      <c r="D102" s="13"/>
      <c r="E102" s="4"/>
      <c r="F102" s="3" t="s">
        <v>310</v>
      </c>
      <c r="G102" s="13"/>
      <c r="H102" s="13"/>
      <c r="I102" s="13"/>
      <c r="J102" s="13"/>
      <c r="K102" s="13"/>
      <c r="L102" s="13"/>
      <c r="M102" s="13"/>
      <c r="N102" s="13"/>
      <c r="O102" s="13"/>
      <c r="P102" s="13"/>
      <c r="Q102" s="13"/>
      <c r="R102" s="13"/>
      <c r="S102" s="13"/>
      <c r="T102" s="13"/>
      <c r="U102" s="13"/>
      <c r="V102" s="13"/>
      <c r="W102" s="13"/>
      <c r="X102" s="13"/>
      <c r="Y102" s="13"/>
      <c r="Z102" s="13"/>
      <c r="AA102" s="13"/>
      <c r="AB102" s="13"/>
      <c r="AC102" s="5" t="s">
        <v>22</v>
      </c>
    </row>
    <row r="103" ht="15.75" customHeight="1">
      <c r="A103" s="1">
        <v>167.0</v>
      </c>
      <c r="B103" s="2" t="s">
        <v>311</v>
      </c>
      <c r="C103" s="3" t="s">
        <v>1</v>
      </c>
      <c r="D103" s="4"/>
      <c r="E103" s="4"/>
      <c r="F103" s="3" t="s">
        <v>312</v>
      </c>
      <c r="G103" s="4"/>
      <c r="H103" s="4"/>
      <c r="I103" s="4"/>
      <c r="J103" s="4"/>
      <c r="K103" s="4"/>
      <c r="L103" s="4"/>
      <c r="M103" s="4"/>
      <c r="N103" s="4"/>
      <c r="O103" s="4"/>
      <c r="P103" s="4"/>
      <c r="Q103" s="4"/>
      <c r="R103" s="4"/>
      <c r="S103" s="4"/>
      <c r="T103" s="4"/>
      <c r="U103" s="4"/>
      <c r="V103" s="4"/>
      <c r="W103" s="4"/>
      <c r="X103" s="4"/>
      <c r="Y103" s="4"/>
      <c r="Z103" s="4"/>
      <c r="AA103" s="4"/>
      <c r="AB103" s="4"/>
      <c r="AC103" s="5" t="s">
        <v>43</v>
      </c>
    </row>
    <row r="104" ht="15.75" customHeight="1">
      <c r="A104" s="1">
        <v>168.0</v>
      </c>
      <c r="B104" s="2" t="s">
        <v>313</v>
      </c>
      <c r="C104" s="3" t="s">
        <v>85</v>
      </c>
      <c r="D104" s="3" t="s">
        <v>314</v>
      </c>
      <c r="E104" s="4"/>
      <c r="F104" s="3" t="s">
        <v>315</v>
      </c>
      <c r="G104" s="4"/>
      <c r="H104" s="4"/>
      <c r="I104" s="4"/>
      <c r="J104" s="4"/>
      <c r="K104" s="4"/>
      <c r="L104" s="4"/>
      <c r="M104" s="4"/>
      <c r="N104" s="4"/>
      <c r="O104" s="4"/>
      <c r="P104" s="4"/>
      <c r="Q104" s="4"/>
      <c r="R104" s="4"/>
      <c r="S104" s="4"/>
      <c r="T104" s="4"/>
      <c r="U104" s="4"/>
      <c r="V104" s="4"/>
      <c r="W104" s="4"/>
      <c r="X104" s="4"/>
      <c r="Y104" s="4"/>
      <c r="Z104" s="4"/>
      <c r="AA104" s="4"/>
      <c r="AB104" s="4"/>
      <c r="AC104" s="5" t="s">
        <v>162</v>
      </c>
    </row>
    <row r="105" ht="15.75" customHeight="1">
      <c r="A105" s="1">
        <v>169.0</v>
      </c>
      <c r="B105" s="2" t="s">
        <v>316</v>
      </c>
      <c r="C105" s="3" t="s">
        <v>1</v>
      </c>
      <c r="D105" s="3" t="s">
        <v>317</v>
      </c>
      <c r="E105" s="4"/>
      <c r="F105" s="3" t="s">
        <v>318</v>
      </c>
      <c r="G105" s="4"/>
      <c r="H105" s="4"/>
      <c r="I105" s="4"/>
      <c r="J105" s="4"/>
      <c r="K105" s="4"/>
      <c r="L105" s="4"/>
      <c r="M105" s="4"/>
      <c r="N105" s="4"/>
      <c r="O105" s="4"/>
      <c r="P105" s="4"/>
      <c r="Q105" s="4"/>
      <c r="R105" s="4"/>
      <c r="S105" s="4"/>
      <c r="T105" s="4"/>
      <c r="U105" s="4"/>
      <c r="V105" s="4"/>
      <c r="W105" s="4"/>
      <c r="X105" s="4"/>
      <c r="Y105" s="4"/>
      <c r="Z105" s="4"/>
      <c r="AA105" s="4"/>
      <c r="AB105" s="4"/>
      <c r="AC105" s="5" t="s">
        <v>22</v>
      </c>
    </row>
    <row r="106" ht="15.75" customHeight="1">
      <c r="A106" s="1">
        <v>170.0</v>
      </c>
      <c r="B106" s="2" t="s">
        <v>319</v>
      </c>
      <c r="C106" s="3" t="s">
        <v>24</v>
      </c>
      <c r="D106" s="4"/>
      <c r="E106" s="4"/>
      <c r="F106" s="3" t="s">
        <v>320</v>
      </c>
      <c r="G106" s="4"/>
      <c r="H106" s="4"/>
      <c r="I106" s="4"/>
      <c r="J106" s="4"/>
      <c r="K106" s="4"/>
      <c r="L106" s="4"/>
      <c r="M106" s="4"/>
      <c r="N106" s="4"/>
      <c r="O106" s="4"/>
      <c r="P106" s="4"/>
      <c r="Q106" s="4"/>
      <c r="R106" s="4"/>
      <c r="S106" s="4"/>
      <c r="T106" s="4"/>
      <c r="U106" s="4"/>
      <c r="V106" s="4"/>
      <c r="W106" s="4"/>
      <c r="X106" s="4"/>
      <c r="Y106" s="4"/>
      <c r="Z106" s="4"/>
      <c r="AA106" s="4"/>
      <c r="AB106" s="4"/>
      <c r="AC106" s="5" t="s">
        <v>43</v>
      </c>
    </row>
    <row r="107" ht="15.75" customHeight="1">
      <c r="A107" s="1">
        <v>171.0</v>
      </c>
      <c r="B107" s="2" t="s">
        <v>321</v>
      </c>
      <c r="C107" s="3" t="s">
        <v>27</v>
      </c>
      <c r="D107" s="3" t="s">
        <v>28</v>
      </c>
      <c r="E107" s="4"/>
      <c r="F107" s="3" t="s">
        <v>322</v>
      </c>
      <c r="G107" s="4"/>
      <c r="H107" s="4"/>
      <c r="I107" s="4"/>
      <c r="J107" s="4"/>
      <c r="K107" s="4"/>
      <c r="L107" s="4"/>
      <c r="M107" s="4"/>
      <c r="N107" s="4"/>
      <c r="O107" s="4"/>
      <c r="P107" s="4"/>
      <c r="Q107" s="4"/>
      <c r="R107" s="4"/>
      <c r="S107" s="4"/>
      <c r="T107" s="4"/>
      <c r="U107" s="4"/>
      <c r="V107" s="4"/>
      <c r="W107" s="4"/>
      <c r="X107" s="4"/>
      <c r="Y107" s="4"/>
      <c r="Z107" s="4"/>
      <c r="AA107" s="4"/>
      <c r="AB107" s="4"/>
      <c r="AC107" s="5" t="s">
        <v>22</v>
      </c>
    </row>
    <row r="108" ht="15.75" customHeight="1">
      <c r="A108" s="1">
        <v>172.0</v>
      </c>
      <c r="B108" s="2" t="s">
        <v>323</v>
      </c>
      <c r="C108" s="3" t="s">
        <v>27</v>
      </c>
      <c r="D108" s="3" t="s">
        <v>324</v>
      </c>
      <c r="E108" s="4"/>
      <c r="F108" s="3" t="s">
        <v>325</v>
      </c>
      <c r="G108" s="4"/>
      <c r="H108" s="4"/>
      <c r="I108" s="4"/>
      <c r="J108" s="4"/>
      <c r="K108" s="4"/>
      <c r="L108" s="4"/>
      <c r="M108" s="4"/>
      <c r="N108" s="4"/>
      <c r="O108" s="4"/>
      <c r="P108" s="4"/>
      <c r="Q108" s="4"/>
      <c r="R108" s="4"/>
      <c r="S108" s="4"/>
      <c r="T108" s="4"/>
      <c r="U108" s="4"/>
      <c r="V108" s="4"/>
      <c r="W108" s="4"/>
      <c r="X108" s="4"/>
      <c r="Y108" s="4"/>
      <c r="Z108" s="4"/>
      <c r="AA108" s="4"/>
      <c r="AB108" s="4"/>
      <c r="AC108" s="5" t="s">
        <v>326</v>
      </c>
    </row>
    <row r="109" ht="15.75" customHeight="1">
      <c r="A109" s="1">
        <v>172.0</v>
      </c>
      <c r="B109" s="2" t="s">
        <v>327</v>
      </c>
      <c r="C109" s="4"/>
      <c r="D109" s="4"/>
      <c r="E109" s="4"/>
      <c r="F109" s="3" t="s">
        <v>325</v>
      </c>
      <c r="G109" s="4"/>
      <c r="H109" s="4"/>
      <c r="I109" s="4"/>
      <c r="J109" s="4"/>
      <c r="K109" s="4"/>
      <c r="L109" s="4"/>
      <c r="M109" s="4"/>
      <c r="N109" s="4"/>
      <c r="O109" s="4"/>
      <c r="P109" s="4"/>
      <c r="Q109" s="4"/>
      <c r="R109" s="4"/>
      <c r="S109" s="4"/>
      <c r="T109" s="4"/>
      <c r="U109" s="4"/>
      <c r="V109" s="4"/>
      <c r="W109" s="4"/>
      <c r="X109" s="4"/>
      <c r="Y109" s="4"/>
      <c r="Z109" s="4"/>
      <c r="AA109" s="4"/>
      <c r="AB109" s="4"/>
      <c r="AC109" s="5" t="s">
        <v>326</v>
      </c>
    </row>
    <row r="110" ht="15.75" customHeight="1">
      <c r="A110" s="7">
        <v>175.0</v>
      </c>
      <c r="B110" s="2" t="s">
        <v>328</v>
      </c>
      <c r="C110" s="18" t="s">
        <v>39</v>
      </c>
      <c r="D110" s="13"/>
      <c r="E110" s="3" t="s">
        <v>41</v>
      </c>
      <c r="F110" s="3" t="s">
        <v>329</v>
      </c>
      <c r="G110" s="13"/>
      <c r="H110" s="13"/>
      <c r="I110" s="13"/>
      <c r="J110" s="13"/>
      <c r="K110" s="13"/>
      <c r="L110" s="13"/>
      <c r="M110" s="13"/>
      <c r="N110" s="13"/>
      <c r="O110" s="13"/>
      <c r="P110" s="13"/>
      <c r="Q110" s="13"/>
      <c r="R110" s="13"/>
      <c r="S110" s="13"/>
      <c r="T110" s="13"/>
      <c r="U110" s="13"/>
      <c r="V110" s="13"/>
      <c r="W110" s="13"/>
      <c r="X110" s="13"/>
      <c r="Y110" s="13"/>
      <c r="Z110" s="13"/>
      <c r="AA110" s="13"/>
      <c r="AB110" s="13"/>
      <c r="AC110" s="5" t="s">
        <v>22</v>
      </c>
    </row>
    <row r="111" ht="15.75" customHeight="1">
      <c r="A111" s="1">
        <v>176.0</v>
      </c>
      <c r="B111" s="2" t="s">
        <v>330</v>
      </c>
      <c r="C111" s="3" t="s">
        <v>24</v>
      </c>
      <c r="D111" s="4"/>
      <c r="E111" s="4"/>
      <c r="F111" s="3" t="s">
        <v>331</v>
      </c>
      <c r="G111" s="4"/>
      <c r="H111" s="4"/>
      <c r="I111" s="4"/>
      <c r="J111" s="4"/>
      <c r="K111" s="4"/>
      <c r="L111" s="4"/>
      <c r="M111" s="4"/>
      <c r="N111" s="4"/>
      <c r="O111" s="4"/>
      <c r="P111" s="4"/>
      <c r="Q111" s="4"/>
      <c r="R111" s="4"/>
      <c r="S111" s="4"/>
      <c r="T111" s="4"/>
      <c r="U111" s="4"/>
      <c r="V111" s="4"/>
      <c r="W111" s="4"/>
      <c r="X111" s="4"/>
      <c r="Y111" s="4"/>
      <c r="Z111" s="4"/>
      <c r="AA111" s="4"/>
      <c r="AB111" s="4"/>
      <c r="AC111" s="5" t="s">
        <v>22</v>
      </c>
    </row>
    <row r="112" ht="15.75" customHeight="1">
      <c r="A112" s="1">
        <v>177.0</v>
      </c>
      <c r="B112" s="2" t="s">
        <v>332</v>
      </c>
      <c r="C112" s="3" t="s">
        <v>24</v>
      </c>
      <c r="D112" s="4"/>
      <c r="E112" s="4"/>
      <c r="F112" s="3" t="s">
        <v>333</v>
      </c>
      <c r="G112" s="4"/>
      <c r="H112" s="4"/>
      <c r="I112" s="4"/>
      <c r="J112" s="4"/>
      <c r="K112" s="4"/>
      <c r="L112" s="4"/>
      <c r="M112" s="4"/>
      <c r="N112" s="4"/>
      <c r="O112" s="4"/>
      <c r="P112" s="4"/>
      <c r="Q112" s="4"/>
      <c r="R112" s="4"/>
      <c r="S112" s="4"/>
      <c r="T112" s="4"/>
      <c r="U112" s="4"/>
      <c r="V112" s="4"/>
      <c r="W112" s="4"/>
      <c r="X112" s="4"/>
      <c r="Y112" s="4"/>
      <c r="Z112" s="4"/>
      <c r="AA112" s="4"/>
      <c r="AB112" s="4"/>
      <c r="AC112" s="5" t="s">
        <v>22</v>
      </c>
    </row>
    <row r="113" ht="15.75" customHeight="1">
      <c r="A113" s="1">
        <v>178.0</v>
      </c>
      <c r="B113" s="2" t="s">
        <v>334</v>
      </c>
      <c r="C113" s="3" t="s">
        <v>24</v>
      </c>
      <c r="D113" s="4"/>
      <c r="E113" s="4"/>
      <c r="F113" s="3" t="s">
        <v>335</v>
      </c>
      <c r="G113" s="4"/>
      <c r="H113" s="4"/>
      <c r="I113" s="4"/>
      <c r="J113" s="4"/>
      <c r="K113" s="4"/>
      <c r="L113" s="4"/>
      <c r="M113" s="4"/>
      <c r="N113" s="4"/>
      <c r="O113" s="4"/>
      <c r="P113" s="4"/>
      <c r="Q113" s="4"/>
      <c r="R113" s="4"/>
      <c r="S113" s="4"/>
      <c r="T113" s="4"/>
      <c r="U113" s="4"/>
      <c r="V113" s="4"/>
      <c r="W113" s="4"/>
      <c r="X113" s="4"/>
      <c r="Y113" s="4"/>
      <c r="Z113" s="4"/>
      <c r="AA113" s="4"/>
      <c r="AB113" s="4"/>
      <c r="AC113" s="5" t="s">
        <v>43</v>
      </c>
    </row>
    <row r="114" ht="15.75" customHeight="1">
      <c r="A114" s="7">
        <v>182.0</v>
      </c>
      <c r="B114" s="2" t="s">
        <v>336</v>
      </c>
      <c r="C114" s="8" t="s">
        <v>39</v>
      </c>
      <c r="D114" s="3" t="s">
        <v>337</v>
      </c>
      <c r="E114" s="19" t="s">
        <v>41</v>
      </c>
      <c r="F114" s="19" t="s">
        <v>338</v>
      </c>
      <c r="G114" s="4"/>
      <c r="H114" s="4"/>
      <c r="I114" s="4"/>
      <c r="J114" s="4"/>
      <c r="K114" s="4"/>
      <c r="L114" s="4"/>
      <c r="M114" s="4"/>
      <c r="N114" s="4"/>
      <c r="O114" s="4"/>
      <c r="P114" s="4"/>
      <c r="Q114" s="4"/>
      <c r="R114" s="4"/>
      <c r="S114" s="4"/>
      <c r="T114" s="4"/>
      <c r="U114" s="4"/>
      <c r="V114" s="4"/>
      <c r="W114" s="4"/>
      <c r="X114" s="4"/>
      <c r="Y114" s="4"/>
      <c r="Z114" s="4"/>
      <c r="AA114" s="4"/>
      <c r="AB114" s="4"/>
      <c r="AC114" s="5" t="s">
        <v>22</v>
      </c>
    </row>
    <row r="115" ht="15.75" customHeight="1">
      <c r="A115" s="1">
        <v>183.0</v>
      </c>
      <c r="B115" s="2" t="s">
        <v>339</v>
      </c>
      <c r="C115" s="3" t="s">
        <v>24</v>
      </c>
      <c r="D115" s="3" t="s">
        <v>340</v>
      </c>
      <c r="E115" s="4"/>
      <c r="F115" s="3" t="s">
        <v>341</v>
      </c>
      <c r="G115" s="4"/>
      <c r="H115" s="4"/>
      <c r="I115" s="4"/>
      <c r="J115" s="4"/>
      <c r="K115" s="4"/>
      <c r="L115" s="4"/>
      <c r="M115" s="4"/>
      <c r="N115" s="4"/>
      <c r="O115" s="4"/>
      <c r="P115" s="4"/>
      <c r="Q115" s="4"/>
      <c r="R115" s="4"/>
      <c r="S115" s="4"/>
      <c r="T115" s="4"/>
      <c r="U115" s="4"/>
      <c r="V115" s="4"/>
      <c r="W115" s="4"/>
      <c r="X115" s="4"/>
      <c r="Y115" s="4"/>
      <c r="Z115" s="4"/>
      <c r="AA115" s="4"/>
      <c r="AB115" s="4"/>
      <c r="AC115" s="5" t="s">
        <v>22</v>
      </c>
    </row>
    <row r="116" ht="15.75" customHeight="1">
      <c r="A116" s="7">
        <v>184.0</v>
      </c>
      <c r="B116" s="2" t="s">
        <v>342</v>
      </c>
      <c r="C116" s="8" t="s">
        <v>39</v>
      </c>
      <c r="D116" s="4"/>
      <c r="E116" s="3" t="s">
        <v>41</v>
      </c>
      <c r="F116" s="3" t="s">
        <v>343</v>
      </c>
      <c r="G116" s="3" t="s">
        <v>344</v>
      </c>
      <c r="H116" s="3" t="s">
        <v>345</v>
      </c>
      <c r="I116" s="3" t="s">
        <v>346</v>
      </c>
      <c r="J116" s="3" t="s">
        <v>6</v>
      </c>
      <c r="K116" s="4"/>
      <c r="L116" s="4"/>
      <c r="M116" s="4"/>
      <c r="N116" s="4"/>
      <c r="O116" s="4"/>
      <c r="P116" s="4"/>
      <c r="Q116" s="4"/>
      <c r="R116" s="4"/>
      <c r="S116" s="4"/>
      <c r="T116" s="4"/>
      <c r="U116" s="4"/>
      <c r="V116" s="4"/>
      <c r="W116" s="4"/>
      <c r="X116" s="4"/>
      <c r="Y116" s="4"/>
      <c r="Z116" s="4"/>
      <c r="AA116" s="4"/>
      <c r="AB116" s="4"/>
      <c r="AC116" s="5" t="s">
        <v>7</v>
      </c>
    </row>
    <row r="117" ht="15.75" customHeight="1">
      <c r="A117" s="1">
        <v>185.0</v>
      </c>
      <c r="B117" s="2" t="s">
        <v>347</v>
      </c>
      <c r="C117" s="3" t="s">
        <v>27</v>
      </c>
      <c r="D117" s="3" t="s">
        <v>348</v>
      </c>
      <c r="E117" s="4"/>
      <c r="F117" s="3" t="s">
        <v>349</v>
      </c>
      <c r="G117" s="4"/>
      <c r="H117" s="4"/>
      <c r="I117" s="4"/>
      <c r="J117" s="4"/>
      <c r="K117" s="4"/>
      <c r="L117" s="4"/>
      <c r="M117" s="4"/>
      <c r="N117" s="4"/>
      <c r="O117" s="4"/>
      <c r="P117" s="4"/>
      <c r="Q117" s="4"/>
      <c r="R117" s="4"/>
      <c r="S117" s="4"/>
      <c r="T117" s="4"/>
      <c r="U117" s="4"/>
      <c r="V117" s="4"/>
      <c r="W117" s="4"/>
      <c r="X117" s="4"/>
      <c r="Y117" s="4"/>
      <c r="Z117" s="4"/>
      <c r="AA117" s="4"/>
      <c r="AB117" s="4"/>
      <c r="AC117" s="5" t="s">
        <v>22</v>
      </c>
    </row>
    <row r="118" ht="15.75" customHeight="1">
      <c r="A118" s="1">
        <v>186.0</v>
      </c>
      <c r="B118" s="2" t="s">
        <v>350</v>
      </c>
      <c r="C118" s="3" t="s">
        <v>39</v>
      </c>
      <c r="D118" s="3" t="s">
        <v>351</v>
      </c>
      <c r="E118" s="3" t="s">
        <v>41</v>
      </c>
      <c r="F118" s="3" t="s">
        <v>352</v>
      </c>
      <c r="G118" s="4"/>
      <c r="H118" s="4"/>
      <c r="I118" s="4"/>
      <c r="J118" s="4"/>
      <c r="K118" s="4"/>
      <c r="L118" s="4"/>
      <c r="M118" s="4"/>
      <c r="N118" s="4"/>
      <c r="O118" s="4"/>
      <c r="P118" s="4"/>
      <c r="Q118" s="4"/>
      <c r="R118" s="4"/>
      <c r="S118" s="4"/>
      <c r="T118" s="4"/>
      <c r="U118" s="4"/>
      <c r="V118" s="4"/>
      <c r="W118" s="4"/>
      <c r="X118" s="4"/>
      <c r="Y118" s="4"/>
      <c r="Z118" s="4"/>
      <c r="AA118" s="4"/>
      <c r="AB118" s="4"/>
      <c r="AC118" s="5" t="s">
        <v>22</v>
      </c>
    </row>
    <row r="119" ht="15.75" customHeight="1">
      <c r="A119" s="7">
        <v>187.0</v>
      </c>
      <c r="B119" s="2" t="s">
        <v>353</v>
      </c>
      <c r="C119" s="8" t="s">
        <v>39</v>
      </c>
      <c r="D119" s="3" t="s">
        <v>354</v>
      </c>
      <c r="E119" s="3" t="s">
        <v>41</v>
      </c>
      <c r="F119" s="3" t="s">
        <v>355</v>
      </c>
      <c r="G119" s="4"/>
      <c r="H119" s="4"/>
      <c r="I119" s="4"/>
      <c r="J119" s="4"/>
      <c r="K119" s="4"/>
      <c r="L119" s="4"/>
      <c r="M119" s="4"/>
      <c r="N119" s="4"/>
      <c r="O119" s="4"/>
      <c r="P119" s="4"/>
      <c r="Q119" s="4"/>
      <c r="R119" s="4"/>
      <c r="S119" s="4"/>
      <c r="T119" s="4"/>
      <c r="U119" s="4"/>
      <c r="V119" s="4"/>
      <c r="W119" s="4"/>
      <c r="X119" s="4"/>
      <c r="Y119" s="4"/>
      <c r="Z119" s="4"/>
      <c r="AA119" s="4"/>
      <c r="AB119" s="4"/>
      <c r="AC119" s="5" t="s">
        <v>22</v>
      </c>
    </row>
    <row r="120" ht="15.75" customHeight="1">
      <c r="A120" s="1">
        <v>188.0</v>
      </c>
      <c r="B120" s="2" t="s">
        <v>356</v>
      </c>
      <c r="C120" s="3" t="s">
        <v>1</v>
      </c>
      <c r="D120" s="4"/>
      <c r="E120" s="4"/>
      <c r="F120" s="3" t="s">
        <v>357</v>
      </c>
      <c r="G120" s="4"/>
      <c r="H120" s="4"/>
      <c r="I120" s="4"/>
      <c r="J120" s="4"/>
      <c r="K120" s="4"/>
      <c r="L120" s="4"/>
      <c r="M120" s="4"/>
      <c r="N120" s="4"/>
      <c r="O120" s="4"/>
      <c r="P120" s="4"/>
      <c r="Q120" s="4"/>
      <c r="R120" s="4"/>
      <c r="S120" s="4"/>
      <c r="T120" s="4"/>
      <c r="U120" s="4"/>
      <c r="V120" s="4"/>
      <c r="W120" s="4"/>
      <c r="X120" s="4"/>
      <c r="Y120" s="4"/>
      <c r="Z120" s="4"/>
      <c r="AA120" s="4"/>
      <c r="AB120" s="4"/>
      <c r="AC120" s="5" t="s">
        <v>22</v>
      </c>
    </row>
    <row r="121" ht="15.75" customHeight="1">
      <c r="A121" s="1">
        <v>189.0</v>
      </c>
      <c r="B121" s="2" t="s">
        <v>358</v>
      </c>
      <c r="C121" s="3" t="s">
        <v>27</v>
      </c>
      <c r="D121" s="3" t="s">
        <v>359</v>
      </c>
      <c r="E121" s="4"/>
      <c r="F121" s="3" t="s">
        <v>360</v>
      </c>
      <c r="G121" s="4"/>
      <c r="H121" s="4"/>
      <c r="I121" s="4"/>
      <c r="J121" s="4"/>
      <c r="K121" s="4"/>
      <c r="L121" s="4"/>
      <c r="M121" s="4"/>
      <c r="N121" s="4"/>
      <c r="O121" s="4"/>
      <c r="P121" s="4"/>
      <c r="Q121" s="4"/>
      <c r="R121" s="4"/>
      <c r="S121" s="4"/>
      <c r="T121" s="4"/>
      <c r="U121" s="4"/>
      <c r="V121" s="4"/>
      <c r="W121" s="4"/>
      <c r="X121" s="4"/>
      <c r="Y121" s="4"/>
      <c r="Z121" s="4"/>
      <c r="AA121" s="4"/>
      <c r="AB121" s="4"/>
      <c r="AC121" s="5" t="s">
        <v>22</v>
      </c>
    </row>
    <row r="122" ht="15.75" customHeight="1">
      <c r="A122" s="7">
        <v>191.0</v>
      </c>
      <c r="B122" s="2" t="s">
        <v>361</v>
      </c>
      <c r="C122" s="3" t="s">
        <v>39</v>
      </c>
      <c r="D122" s="3" t="s">
        <v>362</v>
      </c>
      <c r="E122" s="3" t="s">
        <v>363</v>
      </c>
      <c r="F122" s="3" t="s">
        <v>364</v>
      </c>
      <c r="G122" s="3" t="s">
        <v>365</v>
      </c>
      <c r="H122" s="3" t="s">
        <v>366</v>
      </c>
      <c r="I122" s="3" t="s">
        <v>367</v>
      </c>
      <c r="J122" s="3" t="s">
        <v>6</v>
      </c>
      <c r="K122" s="4"/>
      <c r="L122" s="4"/>
      <c r="M122" s="4"/>
      <c r="N122" s="4"/>
      <c r="O122" s="4"/>
      <c r="P122" s="4"/>
      <c r="Q122" s="4"/>
      <c r="R122" s="4"/>
      <c r="S122" s="4"/>
      <c r="T122" s="4"/>
      <c r="U122" s="4"/>
      <c r="V122" s="4"/>
      <c r="W122" s="4"/>
      <c r="X122" s="4"/>
      <c r="Y122" s="4"/>
      <c r="Z122" s="4"/>
      <c r="AA122" s="4"/>
      <c r="AB122" s="4"/>
      <c r="AC122" s="5" t="s">
        <v>7</v>
      </c>
    </row>
    <row r="123" ht="15.75" customHeight="1">
      <c r="A123" s="20" t="s">
        <v>368</v>
      </c>
      <c r="B123" s="3" t="s">
        <v>369</v>
      </c>
      <c r="C123" s="3" t="s">
        <v>370</v>
      </c>
      <c r="D123" s="3" t="s">
        <v>371</v>
      </c>
      <c r="E123" s="3" t="s">
        <v>372</v>
      </c>
      <c r="F123" s="3" t="s">
        <v>373</v>
      </c>
      <c r="G123" s="3" t="s">
        <v>374</v>
      </c>
      <c r="H123" s="3" t="s">
        <v>375</v>
      </c>
      <c r="I123" s="3" t="s">
        <v>376</v>
      </c>
      <c r="J123" s="3" t="s">
        <v>377</v>
      </c>
      <c r="K123" s="4"/>
      <c r="L123" s="4"/>
      <c r="M123" s="4"/>
      <c r="N123" s="4"/>
      <c r="O123" s="4"/>
      <c r="P123" s="4"/>
      <c r="Q123" s="4"/>
      <c r="R123" s="4"/>
      <c r="S123" s="4"/>
      <c r="T123" s="4"/>
      <c r="U123" s="4"/>
      <c r="V123" s="4"/>
      <c r="W123" s="4"/>
      <c r="X123" s="4"/>
      <c r="Y123" s="4"/>
      <c r="Z123" s="4"/>
      <c r="AA123" s="4"/>
      <c r="AB123" s="4"/>
      <c r="AC123" s="5" t="s">
        <v>378</v>
      </c>
    </row>
    <row r="124" ht="15.75" customHeight="1">
      <c r="A124" s="1"/>
      <c r="B124" s="2" t="s">
        <v>379</v>
      </c>
      <c r="C124" s="4"/>
      <c r="D124" s="4"/>
      <c r="E124" s="4"/>
      <c r="F124" s="3" t="s">
        <v>380</v>
      </c>
      <c r="G124" s="4"/>
      <c r="H124" s="4"/>
      <c r="I124" s="4"/>
      <c r="J124" s="4"/>
      <c r="K124" s="4"/>
      <c r="L124" s="4"/>
      <c r="M124" s="4"/>
      <c r="N124" s="4"/>
      <c r="O124" s="4"/>
      <c r="P124" s="4"/>
      <c r="Q124" s="4"/>
      <c r="R124" s="4"/>
      <c r="S124" s="4"/>
      <c r="T124" s="4"/>
      <c r="U124" s="4"/>
      <c r="V124" s="4"/>
      <c r="W124" s="4"/>
      <c r="X124" s="4"/>
      <c r="Y124" s="4"/>
      <c r="Z124" s="4"/>
      <c r="AA124" s="4"/>
      <c r="AB124" s="4"/>
      <c r="AC124" s="5" t="s">
        <v>381</v>
      </c>
    </row>
    <row r="125" ht="15.75" customHeight="1">
      <c r="A125" s="20"/>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ht="15.75" customHeight="1">
      <c r="A126" s="20"/>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ht="15.75" customHeight="1">
      <c r="A127" s="20"/>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ht="15.75" customHeight="1">
      <c r="A128" s="20"/>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ht="15.75" customHeight="1">
      <c r="A129" s="20"/>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ht="15.75" customHeight="1">
      <c r="A130" s="2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ht="15.75" customHeight="1">
      <c r="A131" s="20"/>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ht="15.75" customHeight="1">
      <c r="A132" s="20"/>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ht="15.75" customHeight="1">
      <c r="A133" s="20"/>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ht="15.75" customHeight="1">
      <c r="A134" s="20"/>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ht="15.75" customHeight="1">
      <c r="A135" s="20"/>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ht="15.75" customHeight="1">
      <c r="A136" s="20"/>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ht="15.75" customHeight="1">
      <c r="A137" s="20"/>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ht="15.75" customHeight="1">
      <c r="A138" s="20"/>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ht="15.75" customHeight="1">
      <c r="A139" s="20"/>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ht="15.75" customHeight="1">
      <c r="A140" s="2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ht="15.75" customHeight="1">
      <c r="A141" s="20"/>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ht="15.75" customHeight="1">
      <c r="A142" s="20"/>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ht="15.75" customHeight="1">
      <c r="A143" s="20"/>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ht="15.75" customHeight="1">
      <c r="A144" s="20"/>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ht="15.75" customHeight="1">
      <c r="A145" s="20"/>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ht="15.75" customHeight="1">
      <c r="A146" s="20"/>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ht="15.75" customHeight="1">
      <c r="A147" s="20"/>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ht="15.75" customHeight="1">
      <c r="A148" s="20"/>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ht="15.75" customHeight="1">
      <c r="A149" s="20"/>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ht="15.75" customHeight="1">
      <c r="A150" s="2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ht="15.75" customHeight="1">
      <c r="A151" s="20"/>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ht="15.75" customHeight="1">
      <c r="A152" s="20"/>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ht="15.75" customHeight="1">
      <c r="A153" s="20"/>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ht="15.75" customHeight="1">
      <c r="A154" s="20"/>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ht="15.75" customHeight="1">
      <c r="A155" s="20"/>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ht="15.75" customHeight="1">
      <c r="A156" s="20"/>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ht="15.75" customHeight="1">
      <c r="A157" s="20"/>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ht="15.75" customHeight="1">
      <c r="A158" s="20"/>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ht="15.75" customHeight="1">
      <c r="A159" s="20"/>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ht="15.75" customHeight="1">
      <c r="A160" s="2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ht="15.75" customHeight="1">
      <c r="A161" s="20"/>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ht="15.75" customHeight="1">
      <c r="A162" s="20"/>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ht="15.75" customHeight="1">
      <c r="A163" s="20"/>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ht="15.75" customHeight="1">
      <c r="A164" s="20"/>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ht="15.75" customHeight="1">
      <c r="A165" s="20"/>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ht="15.75" customHeight="1">
      <c r="A166" s="20"/>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ht="15.75" customHeight="1">
      <c r="A167" s="20"/>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ht="15.75" customHeight="1">
      <c r="A168" s="20"/>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ht="15.75" customHeight="1">
      <c r="A169" s="20"/>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ht="15.75" customHeight="1">
      <c r="A170" s="2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ht="15.75" customHeight="1">
      <c r="A171" s="20"/>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ht="15.75" customHeight="1">
      <c r="A172" s="20"/>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ht="15.75" customHeight="1">
      <c r="A173" s="20"/>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ht="15.75" customHeight="1">
      <c r="A174" s="20"/>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ht="15.75" customHeight="1">
      <c r="A175" s="20"/>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ht="15.75" customHeight="1">
      <c r="A176" s="20"/>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ht="15.75" customHeight="1">
      <c r="A177" s="20"/>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ht="15.75" customHeight="1">
      <c r="A178" s="20"/>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ht="15.75" customHeight="1">
      <c r="A179" s="20"/>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ht="15.75" customHeight="1">
      <c r="A180" s="2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ht="15.75" customHeight="1">
      <c r="A181" s="20"/>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ht="15.75" customHeight="1">
      <c r="A182" s="20"/>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ht="15.75" customHeight="1">
      <c r="A183" s="20"/>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ht="15.75" customHeight="1">
      <c r="A184" s="20"/>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ht="15.75" customHeight="1">
      <c r="A185" s="20"/>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ht="15.75" customHeight="1">
      <c r="A186" s="20"/>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ht="15.75" customHeight="1">
      <c r="A187" s="20"/>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ht="15.75" customHeight="1">
      <c r="A188" s="20"/>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ht="15.75" customHeight="1">
      <c r="A189" s="20"/>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ht="15.75" customHeight="1">
      <c r="A190" s="2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ht="15.75" customHeight="1">
      <c r="A191" s="20"/>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ht="15.75" customHeight="1">
      <c r="A192" s="20"/>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ht="15.75" customHeight="1">
      <c r="A193" s="20"/>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ht="15.75" customHeight="1">
      <c r="A194" s="20"/>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ht="15.75" customHeight="1">
      <c r="A195" s="20"/>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ht="15.75" customHeight="1">
      <c r="A196" s="20"/>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ht="15.75" customHeight="1">
      <c r="A197" s="20"/>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ht="15.75" customHeight="1">
      <c r="A198" s="20"/>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ht="15.75" customHeight="1">
      <c r="A199" s="20"/>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ht="15.75" customHeight="1">
      <c r="A200" s="2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ht="15.75" customHeight="1">
      <c r="A201" s="20"/>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ht="15.75" customHeight="1">
      <c r="A202" s="20"/>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ht="15.75" customHeight="1">
      <c r="A203" s="20"/>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ht="15.75" customHeight="1">
      <c r="A204" s="20"/>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ht="15.75" customHeight="1">
      <c r="A205" s="20"/>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ht="15.75" customHeight="1">
      <c r="A206" s="20"/>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ht="15.75" customHeight="1">
      <c r="A207" s="20"/>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ht="15.75" customHeight="1">
      <c r="A208" s="20"/>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ht="15.75" customHeight="1">
      <c r="A209" s="20"/>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ht="15.75" customHeight="1">
      <c r="A210" s="2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ht="15.75" customHeight="1">
      <c r="A211" s="20"/>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ht="15.75" customHeight="1">
      <c r="A212" s="20"/>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ht="15.75" customHeight="1">
      <c r="A213" s="20"/>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ht="15.75" customHeight="1">
      <c r="A214" s="20"/>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ht="15.75" customHeight="1">
      <c r="A215" s="20"/>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ht="15.75" customHeight="1">
      <c r="A216" s="20"/>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ht="15.75" customHeight="1">
      <c r="A217" s="20"/>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ht="15.75" customHeight="1">
      <c r="A218" s="20"/>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ht="15.75" customHeight="1">
      <c r="A219" s="20"/>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ht="15.75" customHeight="1">
      <c r="A220" s="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ht="15.75" customHeight="1">
      <c r="A221" s="20"/>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ht="15.75" customHeight="1">
      <c r="A222" s="20"/>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ht="15.75" customHeight="1">
      <c r="A223" s="20"/>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ht="15.75" customHeight="1">
      <c r="A224" s="20"/>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ht="15.75" customHeight="1">
      <c r="A225" s="20"/>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ht="15.75" customHeight="1">
      <c r="A226" s="20"/>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ht="15.75" customHeight="1">
      <c r="A227" s="20"/>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ht="15.75" customHeight="1">
      <c r="A228" s="20"/>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ht="15.75" customHeight="1">
      <c r="A229" s="20"/>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ht="15.75" customHeight="1">
      <c r="A230" s="2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ht="15.75" customHeight="1">
      <c r="A231" s="20"/>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ht="15.75" customHeight="1">
      <c r="A232" s="20"/>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ht="15.75" customHeight="1">
      <c r="A233" s="20"/>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ht="15.75" customHeight="1">
      <c r="A234" s="20"/>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ht="15.75" customHeight="1">
      <c r="A235" s="20"/>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ht="15.75" customHeight="1">
      <c r="A236" s="20"/>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ht="15.75" customHeight="1">
      <c r="A237" s="20"/>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ht="15.75" customHeight="1">
      <c r="A238" s="20"/>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ht="15.75" customHeight="1">
      <c r="A239" s="20"/>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ht="15.75" customHeight="1">
      <c r="A240" s="2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ht="15.75" customHeight="1">
      <c r="A241" s="20"/>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ht="15.75" customHeight="1">
      <c r="A242" s="20"/>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ht="15.75" customHeight="1">
      <c r="A243" s="20"/>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ht="15.75" customHeight="1">
      <c r="A244" s="20"/>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ht="15.75" customHeight="1">
      <c r="A245" s="20"/>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ht="15.75" customHeight="1">
      <c r="A246" s="20"/>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ht="15.75" customHeight="1">
      <c r="A247" s="20"/>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ht="15.75" customHeight="1">
      <c r="A248" s="20"/>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ht="15.75" customHeight="1">
      <c r="A249" s="20"/>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ht="15.75" customHeight="1">
      <c r="A250" s="2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ht="15.75" customHeight="1">
      <c r="A251" s="20"/>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ht="15.75" customHeight="1">
      <c r="A252" s="20"/>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ht="15.75" customHeight="1">
      <c r="A253" s="20"/>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ht="15.75" customHeight="1">
      <c r="A254" s="20"/>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ht="15.75" customHeight="1">
      <c r="A255" s="20"/>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ht="15.75" customHeight="1">
      <c r="A256" s="20"/>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ht="15.75" customHeight="1">
      <c r="A257" s="20"/>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ht="15.75" customHeight="1">
      <c r="A258" s="20"/>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ht="15.75" customHeight="1">
      <c r="A259" s="20"/>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ht="15.75" customHeight="1">
      <c r="A260" s="2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ht="15.75" customHeight="1">
      <c r="A261" s="20"/>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ht="15.75" customHeight="1">
      <c r="A262" s="20"/>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ht="15.75" customHeight="1">
      <c r="A263" s="20"/>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ht="15.75" customHeight="1">
      <c r="A264" s="20"/>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ht="15.75" customHeight="1">
      <c r="A265" s="20"/>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ht="15.75" customHeight="1">
      <c r="A266" s="20"/>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ht="15.75" customHeight="1">
      <c r="A267" s="20"/>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ht="15.75" customHeight="1">
      <c r="A268" s="20"/>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ht="15.75" customHeight="1">
      <c r="A269" s="20"/>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ht="15.75" customHeight="1">
      <c r="A270" s="2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ht="15.75" customHeight="1">
      <c r="A271" s="20"/>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ht="15.75" customHeight="1">
      <c r="A272" s="20"/>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ht="15.75" customHeight="1">
      <c r="A273" s="20"/>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ht="15.75" customHeight="1">
      <c r="A274" s="20"/>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ht="15.75" customHeight="1">
      <c r="A275" s="20"/>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ht="15.75" customHeight="1">
      <c r="A276" s="20"/>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ht="15.75" customHeight="1">
      <c r="A277" s="20"/>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ht="15.75" customHeight="1">
      <c r="A278" s="20"/>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ht="15.75" customHeight="1">
      <c r="A279" s="20"/>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ht="15.75" customHeight="1">
      <c r="A280" s="2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ht="15.75" customHeight="1">
      <c r="A281" s="20"/>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ht="15.75" customHeight="1">
      <c r="A282" s="20"/>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ht="15.75" customHeight="1">
      <c r="A283" s="20"/>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ht="15.75" customHeight="1">
      <c r="A284" s="20"/>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ht="15.75" customHeight="1">
      <c r="A285" s="20"/>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ht="15.75" customHeight="1">
      <c r="A286" s="20"/>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ht="15.75" customHeight="1">
      <c r="A287" s="20"/>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ht="15.75" customHeight="1">
      <c r="A288" s="20"/>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ht="15.75" customHeight="1">
      <c r="A289" s="20"/>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ht="15.75" customHeight="1">
      <c r="A290" s="2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ht="15.75" customHeight="1">
      <c r="A291" s="20"/>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ht="15.75" customHeight="1">
      <c r="A292" s="20"/>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ht="15.75" customHeight="1">
      <c r="A293" s="20"/>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ht="15.75" customHeight="1">
      <c r="A294" s="20"/>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ht="15.75" customHeight="1">
      <c r="A295" s="20"/>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ht="15.75" customHeight="1">
      <c r="A296" s="20"/>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ht="15.75" customHeight="1">
      <c r="A297" s="20"/>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ht="15.75" customHeight="1">
      <c r="A298" s="20"/>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ht="15.75" customHeight="1">
      <c r="A299" s="20"/>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ht="15.75" customHeight="1">
      <c r="A300" s="2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5.75" customHeight="1">
      <c r="A301" s="20"/>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5.75" customHeight="1">
      <c r="A302" s="20"/>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5.75" customHeight="1">
      <c r="A303" s="20"/>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5.75" customHeight="1">
      <c r="A304" s="20"/>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5.75" customHeight="1">
      <c r="A305" s="20"/>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5.75" customHeight="1">
      <c r="A306" s="20"/>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5.75" customHeight="1">
      <c r="A307" s="20"/>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5.75" customHeight="1">
      <c r="A308" s="20"/>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5.75" customHeight="1">
      <c r="A309" s="20"/>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5.75" customHeight="1">
      <c r="A310" s="2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5.75" customHeight="1">
      <c r="A311" s="20"/>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5.75" customHeight="1">
      <c r="A312" s="20"/>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5.75" customHeight="1">
      <c r="A313" s="20"/>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5.75" customHeight="1">
      <c r="A314" s="20"/>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5.75" customHeight="1">
      <c r="A315" s="20"/>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5.75" customHeight="1">
      <c r="A316" s="20"/>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5.75" customHeight="1">
      <c r="A317" s="20"/>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5.75" customHeight="1">
      <c r="A318" s="20"/>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5.75" customHeight="1">
      <c r="A319" s="20"/>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5.75" customHeight="1">
      <c r="A320" s="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5.75" customHeight="1">
      <c r="A321" s="20"/>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5.75" customHeight="1">
      <c r="A322" s="20"/>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5.75" customHeight="1">
      <c r="A323" s="20"/>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5.75" customHeight="1">
      <c r="A324" s="20"/>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autoFilter ref="$B$1:$J$124"/>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 r:id="rId109" ref="B109"/>
    <hyperlink r:id="rId110" ref="B110"/>
    <hyperlink r:id="rId111" ref="B111"/>
    <hyperlink r:id="rId112" ref="B112"/>
    <hyperlink r:id="rId113" ref="B113"/>
    <hyperlink r:id="rId114" ref="B114"/>
    <hyperlink r:id="rId115" ref="B115"/>
    <hyperlink r:id="rId116" ref="B116"/>
    <hyperlink r:id="rId117" ref="B117"/>
    <hyperlink r:id="rId118" ref="B118"/>
    <hyperlink r:id="rId119" ref="B119"/>
    <hyperlink r:id="rId120" ref="B120"/>
    <hyperlink r:id="rId121" ref="B121"/>
    <hyperlink r:id="rId122" ref="B122"/>
    <hyperlink r:id="rId123" ref="B124"/>
  </hyperlinks>
  <printOptions/>
  <pageMargins bottom="0.75" footer="0.0" header="0.0" left="0.7" right="0.7" top="0.75"/>
  <pageSetup orientation="landscape"/>
  <drawing r:id="rId1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45.75"/>
    <col customWidth="1" min="3" max="3" width="46.25"/>
    <col customWidth="1" min="4" max="4" width="46.75"/>
    <col customWidth="1" min="5" max="6" width="7.63"/>
    <col customWidth="1" min="7" max="7" width="46.25"/>
    <col customWidth="1" min="8" max="8" width="7.63"/>
  </cols>
  <sheetData>
    <row r="1" ht="15.75" customHeight="1">
      <c r="A1" s="3" t="s">
        <v>382</v>
      </c>
      <c r="B1" s="3" t="s">
        <v>383</v>
      </c>
      <c r="C1" s="3" t="s">
        <v>369</v>
      </c>
      <c r="D1" s="3" t="s">
        <v>373</v>
      </c>
      <c r="E1" s="3" t="s">
        <v>374</v>
      </c>
      <c r="F1" s="3" t="s">
        <v>375</v>
      </c>
      <c r="G1" s="3" t="s">
        <v>376</v>
      </c>
      <c r="H1" s="3" t="s">
        <v>377</v>
      </c>
      <c r="I1" s="4"/>
      <c r="J1" s="4"/>
      <c r="K1" s="4"/>
      <c r="L1" s="4"/>
      <c r="M1" s="4"/>
      <c r="N1" s="4"/>
      <c r="O1" s="4"/>
      <c r="P1" s="4"/>
      <c r="Q1" s="4"/>
      <c r="R1" s="4"/>
      <c r="S1" s="4"/>
      <c r="T1" s="4"/>
      <c r="U1" s="4"/>
      <c r="V1" s="4"/>
      <c r="W1" s="4"/>
      <c r="X1" s="4"/>
      <c r="Y1" s="4"/>
      <c r="Z1" s="4"/>
    </row>
    <row r="2" ht="15.75" customHeight="1">
      <c r="A2" s="3" t="s">
        <v>384</v>
      </c>
      <c r="B2" s="3" t="s">
        <v>385</v>
      </c>
      <c r="C2" s="2" t="s">
        <v>0</v>
      </c>
      <c r="D2" s="3" t="s">
        <v>2</v>
      </c>
      <c r="E2" s="3" t="s">
        <v>3</v>
      </c>
      <c r="F2" s="3" t="s">
        <v>4</v>
      </c>
      <c r="G2" s="3" t="s">
        <v>5</v>
      </c>
      <c r="H2" s="3" t="s">
        <v>6</v>
      </c>
      <c r="I2" s="4"/>
      <c r="J2" s="4"/>
      <c r="K2" s="4"/>
      <c r="L2" s="4"/>
      <c r="M2" s="4"/>
      <c r="N2" s="4"/>
      <c r="O2" s="4"/>
      <c r="P2" s="4"/>
      <c r="Q2" s="4"/>
      <c r="R2" s="4"/>
      <c r="S2" s="4"/>
      <c r="T2" s="4"/>
      <c r="U2" s="4"/>
      <c r="V2" s="4"/>
      <c r="W2" s="4"/>
      <c r="X2" s="4"/>
      <c r="Y2" s="4"/>
      <c r="Z2" s="4"/>
    </row>
    <row r="3" ht="15.75" customHeight="1">
      <c r="A3" s="3" t="s">
        <v>386</v>
      </c>
      <c r="B3" s="3" t="s">
        <v>387</v>
      </c>
      <c r="C3" s="2" t="s">
        <v>15</v>
      </c>
      <c r="D3" s="3" t="s">
        <v>16</v>
      </c>
      <c r="E3" s="3" t="s">
        <v>17</v>
      </c>
      <c r="F3" s="3" t="s">
        <v>18</v>
      </c>
      <c r="G3" s="3" t="s">
        <v>19</v>
      </c>
      <c r="H3" s="3" t="s">
        <v>6</v>
      </c>
      <c r="I3" s="4"/>
      <c r="J3" s="4"/>
      <c r="K3" s="4"/>
      <c r="L3" s="4"/>
      <c r="M3" s="4"/>
      <c r="N3" s="4"/>
      <c r="O3" s="4"/>
      <c r="P3" s="4"/>
      <c r="Q3" s="4"/>
      <c r="R3" s="4"/>
      <c r="S3" s="4"/>
      <c r="T3" s="4"/>
      <c r="U3" s="4"/>
      <c r="V3" s="4"/>
      <c r="W3" s="4"/>
      <c r="X3" s="4"/>
      <c r="Y3" s="4"/>
      <c r="Z3" s="4"/>
    </row>
    <row r="4" ht="15.75" customHeight="1">
      <c r="A4" s="3" t="s">
        <v>388</v>
      </c>
      <c r="B4" s="3" t="s">
        <v>389</v>
      </c>
      <c r="C4" s="2" t="s">
        <v>140</v>
      </c>
      <c r="D4" s="3" t="s">
        <v>141</v>
      </c>
      <c r="E4" s="3" t="s">
        <v>142</v>
      </c>
      <c r="F4" s="3" t="s">
        <v>143</v>
      </c>
      <c r="G4" s="3" t="s">
        <v>144</v>
      </c>
      <c r="H4" s="3" t="s">
        <v>6</v>
      </c>
      <c r="I4" s="4"/>
      <c r="J4" s="4"/>
      <c r="K4" s="4"/>
      <c r="L4" s="4"/>
      <c r="M4" s="4"/>
      <c r="N4" s="4"/>
      <c r="O4" s="4"/>
      <c r="P4" s="4"/>
      <c r="Q4" s="4"/>
      <c r="R4" s="4"/>
      <c r="S4" s="4"/>
      <c r="T4" s="4"/>
      <c r="U4" s="4"/>
      <c r="V4" s="4"/>
      <c r="W4" s="4"/>
      <c r="X4" s="4"/>
      <c r="Y4" s="4"/>
      <c r="Z4" s="4"/>
    </row>
    <row r="5" ht="15.75" customHeight="1">
      <c r="A5" s="3" t="s">
        <v>390</v>
      </c>
      <c r="B5" s="3" t="s">
        <v>391</v>
      </c>
      <c r="C5" s="2" t="s">
        <v>68</v>
      </c>
      <c r="D5" s="3" t="s">
        <v>70</v>
      </c>
      <c r="E5" s="3" t="s">
        <v>71</v>
      </c>
      <c r="F5" s="3" t="s">
        <v>72</v>
      </c>
      <c r="G5" s="3" t="s">
        <v>73</v>
      </c>
      <c r="H5" s="3" t="s">
        <v>6</v>
      </c>
      <c r="I5" s="4"/>
      <c r="J5" s="4"/>
      <c r="K5" s="4"/>
      <c r="L5" s="4"/>
      <c r="M5" s="4"/>
      <c r="N5" s="4"/>
      <c r="O5" s="4"/>
      <c r="P5" s="4"/>
      <c r="Q5" s="4"/>
      <c r="R5" s="4"/>
      <c r="S5" s="4"/>
      <c r="T5" s="4"/>
      <c r="U5" s="4"/>
      <c r="V5" s="4"/>
      <c r="W5" s="4"/>
      <c r="X5" s="4"/>
      <c r="Y5" s="4"/>
      <c r="Z5" s="4"/>
    </row>
    <row r="6" ht="15.75" customHeight="1">
      <c r="A6" s="3" t="s">
        <v>392</v>
      </c>
      <c r="B6" s="3" t="s">
        <v>393</v>
      </c>
      <c r="C6" s="2" t="s">
        <v>250</v>
      </c>
      <c r="D6" s="3" t="s">
        <v>251</v>
      </c>
      <c r="E6" s="3" t="s">
        <v>252</v>
      </c>
      <c r="F6" s="3" t="s">
        <v>252</v>
      </c>
      <c r="G6" s="3" t="s">
        <v>253</v>
      </c>
      <c r="H6" s="3" t="s">
        <v>6</v>
      </c>
      <c r="I6" s="4"/>
      <c r="J6" s="4"/>
      <c r="K6" s="4"/>
      <c r="L6" s="4"/>
      <c r="M6" s="4"/>
      <c r="N6" s="4"/>
      <c r="O6" s="4"/>
      <c r="P6" s="4"/>
      <c r="Q6" s="4"/>
      <c r="R6" s="4"/>
      <c r="S6" s="4"/>
      <c r="T6" s="4"/>
      <c r="U6" s="4"/>
      <c r="V6" s="4"/>
      <c r="W6" s="4"/>
      <c r="X6" s="4"/>
      <c r="Y6" s="4"/>
      <c r="Z6" s="4"/>
    </row>
    <row r="7" ht="15.75" customHeight="1">
      <c r="A7" s="3" t="s">
        <v>394</v>
      </c>
      <c r="B7" s="3" t="s">
        <v>395</v>
      </c>
      <c r="C7" s="2" t="s">
        <v>179</v>
      </c>
      <c r="D7" s="3" t="s">
        <v>180</v>
      </c>
      <c r="E7" s="3" t="s">
        <v>181</v>
      </c>
      <c r="F7" s="3" t="s">
        <v>182</v>
      </c>
      <c r="G7" s="3" t="s">
        <v>183</v>
      </c>
      <c r="H7" s="3" t="s">
        <v>6</v>
      </c>
      <c r="I7" s="4"/>
      <c r="J7" s="4"/>
      <c r="K7" s="4"/>
      <c r="L7" s="4"/>
      <c r="M7" s="4"/>
      <c r="N7" s="4"/>
      <c r="O7" s="4"/>
      <c r="P7" s="4"/>
      <c r="Q7" s="4"/>
      <c r="R7" s="4"/>
      <c r="S7" s="4"/>
      <c r="T7" s="4"/>
      <c r="U7" s="4"/>
      <c r="V7" s="4"/>
      <c r="W7" s="4"/>
      <c r="X7" s="4"/>
      <c r="Y7" s="4"/>
      <c r="Z7" s="4"/>
    </row>
    <row r="8" ht="15.75" customHeight="1">
      <c r="A8" s="3" t="s">
        <v>396</v>
      </c>
      <c r="B8" s="3" t="s">
        <v>397</v>
      </c>
      <c r="C8" s="2" t="s">
        <v>271</v>
      </c>
      <c r="D8" s="3" t="s">
        <v>273</v>
      </c>
      <c r="E8" s="3" t="s">
        <v>274</v>
      </c>
      <c r="F8" s="3" t="s">
        <v>274</v>
      </c>
      <c r="G8" s="3" t="s">
        <v>275</v>
      </c>
      <c r="H8" s="3" t="s">
        <v>6</v>
      </c>
      <c r="I8" s="4"/>
      <c r="J8" s="4"/>
      <c r="K8" s="4"/>
      <c r="L8" s="4"/>
      <c r="M8" s="4"/>
      <c r="N8" s="4"/>
      <c r="O8" s="4"/>
      <c r="P8" s="4"/>
      <c r="Q8" s="4"/>
      <c r="R8" s="4"/>
      <c r="S8" s="4"/>
      <c r="T8" s="4"/>
      <c r="U8" s="4"/>
      <c r="V8" s="4"/>
      <c r="W8" s="4"/>
      <c r="X8" s="4"/>
      <c r="Y8" s="4"/>
      <c r="Z8" s="4"/>
    </row>
    <row r="9" ht="15.75" customHeight="1">
      <c r="A9" s="3" t="s">
        <v>398</v>
      </c>
      <c r="B9" s="3" t="s">
        <v>399</v>
      </c>
      <c r="C9" s="2" t="s">
        <v>254</v>
      </c>
      <c r="D9" s="3" t="s">
        <v>255</v>
      </c>
      <c r="E9" s="3" t="s">
        <v>256</v>
      </c>
      <c r="F9" s="3" t="s">
        <v>257</v>
      </c>
      <c r="G9" s="3" t="s">
        <v>258</v>
      </c>
      <c r="H9" s="3" t="s">
        <v>6</v>
      </c>
      <c r="I9" s="4"/>
      <c r="J9" s="4"/>
      <c r="K9" s="4"/>
      <c r="L9" s="4"/>
      <c r="M9" s="4"/>
      <c r="N9" s="4"/>
      <c r="O9" s="4"/>
      <c r="P9" s="4"/>
      <c r="Q9" s="4"/>
      <c r="R9" s="4"/>
      <c r="S9" s="4"/>
      <c r="T9" s="4"/>
      <c r="U9" s="4"/>
      <c r="V9" s="4"/>
      <c r="W9" s="4"/>
      <c r="X9" s="4"/>
      <c r="Y9" s="4"/>
      <c r="Z9" s="4"/>
    </row>
    <row r="10" ht="15.75" customHeight="1">
      <c r="A10" s="3" t="s">
        <v>400</v>
      </c>
      <c r="B10" s="3" t="s">
        <v>401</v>
      </c>
      <c r="C10" s="2" t="s">
        <v>236</v>
      </c>
      <c r="D10" s="3" t="s">
        <v>237</v>
      </c>
      <c r="E10" s="3" t="s">
        <v>238</v>
      </c>
      <c r="F10" s="3" t="s">
        <v>239</v>
      </c>
      <c r="G10" s="3" t="s">
        <v>240</v>
      </c>
      <c r="H10" s="3" t="s">
        <v>6</v>
      </c>
      <c r="I10" s="4"/>
      <c r="J10" s="4"/>
      <c r="K10" s="4"/>
      <c r="L10" s="4"/>
      <c r="M10" s="4"/>
      <c r="N10" s="4"/>
      <c r="O10" s="4"/>
      <c r="P10" s="4"/>
      <c r="Q10" s="4"/>
      <c r="R10" s="4"/>
      <c r="S10" s="4"/>
      <c r="T10" s="4"/>
      <c r="U10" s="4"/>
      <c r="V10" s="4"/>
      <c r="W10" s="4"/>
      <c r="X10" s="4"/>
      <c r="Y10" s="4"/>
      <c r="Z10" s="4"/>
    </row>
    <row r="11" ht="15.75" customHeight="1">
      <c r="A11" s="3" t="s">
        <v>402</v>
      </c>
      <c r="B11" s="3" t="s">
        <v>403</v>
      </c>
      <c r="C11" s="2" t="s">
        <v>242</v>
      </c>
      <c r="D11" s="3" t="s">
        <v>237</v>
      </c>
      <c r="E11" s="3" t="s">
        <v>238</v>
      </c>
      <c r="F11" s="3" t="s">
        <v>239</v>
      </c>
      <c r="G11" s="3" t="s">
        <v>243</v>
      </c>
      <c r="H11" s="3" t="s">
        <v>6</v>
      </c>
      <c r="I11" s="4"/>
      <c r="J11" s="4"/>
      <c r="K11" s="4"/>
      <c r="L11" s="4"/>
      <c r="M11" s="4"/>
      <c r="N11" s="4"/>
      <c r="O11" s="4"/>
      <c r="P11" s="4"/>
      <c r="Q11" s="4"/>
      <c r="R11" s="4"/>
      <c r="S11" s="4"/>
      <c r="T11" s="4"/>
      <c r="U11" s="4"/>
      <c r="V11" s="4"/>
      <c r="W11" s="4"/>
      <c r="X11" s="4"/>
      <c r="Y11" s="4"/>
      <c r="Z11" s="4"/>
    </row>
    <row r="12" ht="15.75" customHeight="1">
      <c r="A12" s="3" t="s">
        <v>404</v>
      </c>
      <c r="B12" s="3" t="s">
        <v>405</v>
      </c>
      <c r="C12" s="2" t="s">
        <v>244</v>
      </c>
      <c r="D12" s="3" t="s">
        <v>237</v>
      </c>
      <c r="E12" s="3" t="s">
        <v>238</v>
      </c>
      <c r="F12" s="3" t="s">
        <v>239</v>
      </c>
      <c r="G12" s="3" t="s">
        <v>245</v>
      </c>
      <c r="H12" s="3" t="s">
        <v>6</v>
      </c>
      <c r="I12" s="4"/>
      <c r="J12" s="4"/>
      <c r="K12" s="4"/>
      <c r="L12" s="4"/>
      <c r="M12" s="4"/>
      <c r="N12" s="4"/>
      <c r="O12" s="4"/>
      <c r="P12" s="4"/>
      <c r="Q12" s="4"/>
      <c r="R12" s="4"/>
      <c r="S12" s="4"/>
      <c r="T12" s="4"/>
      <c r="U12" s="4"/>
      <c r="V12" s="4"/>
      <c r="W12" s="4"/>
      <c r="X12" s="4"/>
      <c r="Y12" s="4"/>
      <c r="Z12" s="4"/>
    </row>
    <row r="13" ht="15.75" customHeight="1">
      <c r="A13" s="3" t="s">
        <v>406</v>
      </c>
      <c r="B13" s="3" t="s">
        <v>407</v>
      </c>
      <c r="C13" s="2" t="s">
        <v>361</v>
      </c>
      <c r="D13" s="3" t="s">
        <v>364</v>
      </c>
      <c r="E13" s="3" t="s">
        <v>365</v>
      </c>
      <c r="F13" s="3" t="s">
        <v>366</v>
      </c>
      <c r="G13" s="3" t="s">
        <v>367</v>
      </c>
      <c r="H13" s="3" t="s">
        <v>6</v>
      </c>
      <c r="I13" s="4"/>
      <c r="J13" s="4"/>
      <c r="K13" s="4"/>
      <c r="L13" s="4"/>
      <c r="M13" s="4"/>
      <c r="N13" s="4"/>
      <c r="O13" s="4"/>
      <c r="P13" s="4"/>
      <c r="Q13" s="4"/>
      <c r="R13" s="4"/>
      <c r="S13" s="4"/>
      <c r="T13" s="4"/>
      <c r="U13" s="4"/>
      <c r="V13" s="4"/>
      <c r="W13" s="4"/>
      <c r="X13" s="4"/>
      <c r="Y13" s="4"/>
      <c r="Z13" s="4"/>
    </row>
    <row r="14" ht="15.75" customHeight="1">
      <c r="A14" s="3" t="s">
        <v>408</v>
      </c>
      <c r="B14" s="3" t="s">
        <v>409</v>
      </c>
      <c r="C14" s="2" t="s">
        <v>104</v>
      </c>
      <c r="D14" s="3" t="s">
        <v>105</v>
      </c>
      <c r="E14" s="3" t="s">
        <v>106</v>
      </c>
      <c r="F14" s="3" t="s">
        <v>107</v>
      </c>
      <c r="G14" s="3" t="s">
        <v>108</v>
      </c>
      <c r="H14" s="3" t="s">
        <v>6</v>
      </c>
      <c r="I14" s="4"/>
      <c r="J14" s="4"/>
      <c r="K14" s="4"/>
      <c r="L14" s="4"/>
      <c r="M14" s="4"/>
      <c r="N14" s="4"/>
      <c r="O14" s="4"/>
      <c r="P14" s="4"/>
      <c r="Q14" s="4"/>
      <c r="R14" s="4"/>
      <c r="S14" s="4"/>
      <c r="T14" s="4"/>
      <c r="U14" s="4"/>
      <c r="V14" s="4"/>
      <c r="W14" s="4"/>
      <c r="X14" s="4"/>
      <c r="Y14" s="4"/>
      <c r="Z14" s="4"/>
    </row>
    <row r="15" ht="15.75" customHeight="1">
      <c r="A15" s="3" t="s">
        <v>410</v>
      </c>
      <c r="B15" s="3" t="s">
        <v>411</v>
      </c>
      <c r="C15" s="2" t="s">
        <v>201</v>
      </c>
      <c r="D15" s="3" t="s">
        <v>203</v>
      </c>
      <c r="E15" s="3" t="s">
        <v>204</v>
      </c>
      <c r="F15" s="3" t="s">
        <v>205</v>
      </c>
      <c r="G15" s="3" t="s">
        <v>206</v>
      </c>
      <c r="H15" s="3" t="s">
        <v>6</v>
      </c>
      <c r="I15" s="4"/>
      <c r="J15" s="4"/>
      <c r="K15" s="4"/>
      <c r="L15" s="4"/>
      <c r="M15" s="4"/>
      <c r="N15" s="4"/>
      <c r="O15" s="4"/>
      <c r="P15" s="4"/>
      <c r="Q15" s="4"/>
      <c r="R15" s="4"/>
      <c r="S15" s="4"/>
      <c r="T15" s="4"/>
      <c r="U15" s="4"/>
      <c r="V15" s="4"/>
      <c r="W15" s="4"/>
      <c r="X15" s="4"/>
      <c r="Y15" s="4"/>
      <c r="Z15" s="4"/>
    </row>
    <row r="16" ht="15.75" customHeight="1">
      <c r="A16" s="3" t="s">
        <v>412</v>
      </c>
      <c r="B16" s="3" t="s">
        <v>413</v>
      </c>
      <c r="C16" s="2" t="s">
        <v>263</v>
      </c>
      <c r="D16" s="3" t="s">
        <v>264</v>
      </c>
      <c r="E16" s="3" t="s">
        <v>265</v>
      </c>
      <c r="F16" s="3" t="s">
        <v>266</v>
      </c>
      <c r="G16" s="3" t="s">
        <v>267</v>
      </c>
      <c r="H16" s="3" t="s">
        <v>6</v>
      </c>
      <c r="I16" s="4"/>
      <c r="J16" s="4"/>
      <c r="K16" s="4"/>
      <c r="L16" s="4"/>
      <c r="M16" s="4"/>
      <c r="N16" s="4"/>
      <c r="O16" s="4"/>
      <c r="P16" s="4"/>
      <c r="Q16" s="4"/>
      <c r="R16" s="4"/>
      <c r="S16" s="4"/>
      <c r="T16" s="4"/>
      <c r="U16" s="4"/>
      <c r="V16" s="4"/>
      <c r="W16" s="4"/>
      <c r="X16" s="4"/>
      <c r="Y16" s="4"/>
      <c r="Z16" s="4"/>
    </row>
    <row r="17" ht="15.75" customHeight="1">
      <c r="A17" s="3" t="s">
        <v>414</v>
      </c>
      <c r="B17" s="3" t="s">
        <v>415</v>
      </c>
      <c r="C17" s="2" t="s">
        <v>342</v>
      </c>
      <c r="D17" s="3" t="s">
        <v>343</v>
      </c>
      <c r="E17" s="3" t="s">
        <v>344</v>
      </c>
      <c r="F17" s="3" t="s">
        <v>345</v>
      </c>
      <c r="G17" s="3" t="s">
        <v>346</v>
      </c>
      <c r="H17" s="3" t="s">
        <v>6</v>
      </c>
      <c r="I17" s="4"/>
      <c r="J17" s="4"/>
      <c r="K17" s="4"/>
      <c r="L17" s="4"/>
      <c r="M17" s="4"/>
      <c r="N17" s="4"/>
      <c r="O17" s="4"/>
      <c r="P17" s="4"/>
      <c r="Q17" s="4"/>
      <c r="R17" s="4"/>
      <c r="S17" s="4"/>
      <c r="T17" s="4"/>
      <c r="U17" s="4"/>
      <c r="V17" s="4"/>
      <c r="W17" s="4"/>
      <c r="X17" s="4"/>
      <c r="Y17" s="4"/>
      <c r="Z17" s="4"/>
    </row>
    <row r="18" ht="15.75" customHeight="1">
      <c r="A18" s="3" t="s">
        <v>416</v>
      </c>
      <c r="B18" s="3" t="s">
        <v>417</v>
      </c>
      <c r="C18" s="2" t="s">
        <v>117</v>
      </c>
      <c r="D18" s="3" t="s">
        <v>118</v>
      </c>
      <c r="E18" s="3" t="s">
        <v>119</v>
      </c>
      <c r="F18" s="3" t="s">
        <v>120</v>
      </c>
      <c r="G18" s="3" t="s">
        <v>121</v>
      </c>
      <c r="H18" s="3" t="s">
        <v>6</v>
      </c>
      <c r="I18" s="4"/>
      <c r="J18" s="4"/>
      <c r="K18" s="4"/>
      <c r="L18" s="4"/>
      <c r="M18" s="4"/>
      <c r="N18" s="4"/>
      <c r="O18" s="4"/>
      <c r="P18" s="4"/>
      <c r="Q18" s="4"/>
      <c r="R18" s="4"/>
      <c r="S18" s="4"/>
      <c r="T18" s="4"/>
      <c r="U18" s="4"/>
      <c r="V18" s="4"/>
      <c r="W18" s="4"/>
      <c r="X18" s="4"/>
      <c r="Y18" s="4"/>
      <c r="Z18" s="4"/>
    </row>
    <row r="19" ht="15.75" customHeight="1">
      <c r="A19" s="3" t="s">
        <v>418</v>
      </c>
      <c r="B19" s="3" t="s">
        <v>419</v>
      </c>
      <c r="C19" s="2" t="s">
        <v>259</v>
      </c>
      <c r="D19" s="3" t="s">
        <v>260</v>
      </c>
      <c r="E19" s="3" t="s">
        <v>261</v>
      </c>
      <c r="F19" s="3" t="s">
        <v>261</v>
      </c>
      <c r="G19" s="3" t="s">
        <v>262</v>
      </c>
      <c r="H19" s="3" t="s">
        <v>6</v>
      </c>
      <c r="I19" s="4"/>
      <c r="J19" s="4"/>
      <c r="K19" s="4"/>
      <c r="L19" s="4"/>
      <c r="M19" s="4"/>
      <c r="N19" s="4"/>
      <c r="O19" s="4"/>
      <c r="P19" s="4"/>
      <c r="Q19" s="4"/>
      <c r="R19" s="4"/>
      <c r="S19" s="4"/>
      <c r="T19" s="4"/>
      <c r="U19" s="4"/>
      <c r="V19" s="4"/>
      <c r="W19" s="4"/>
      <c r="X19" s="4"/>
      <c r="Y19" s="4"/>
      <c r="Z19" s="4"/>
    </row>
    <row r="20" ht="15.75" customHeight="1">
      <c r="A20" s="3" t="s">
        <v>420</v>
      </c>
      <c r="B20" s="3" t="s">
        <v>421</v>
      </c>
      <c r="C20" s="2" t="s">
        <v>289</v>
      </c>
      <c r="D20" s="3" t="s">
        <v>290</v>
      </c>
      <c r="E20" s="3" t="s">
        <v>291</v>
      </c>
      <c r="F20" s="3" t="s">
        <v>292</v>
      </c>
      <c r="G20" s="3" t="s">
        <v>293</v>
      </c>
      <c r="H20" s="3" t="s">
        <v>6</v>
      </c>
      <c r="I20" s="4"/>
      <c r="J20" s="4"/>
      <c r="K20" s="4"/>
      <c r="L20" s="4"/>
      <c r="M20" s="4"/>
      <c r="N20" s="4"/>
      <c r="O20" s="4"/>
      <c r="P20" s="4"/>
      <c r="Q20" s="4"/>
      <c r="R20" s="4"/>
      <c r="S20" s="4"/>
      <c r="T20" s="4"/>
      <c r="U20" s="4"/>
      <c r="V20" s="4"/>
      <c r="W20" s="4"/>
      <c r="X20" s="4"/>
      <c r="Y20" s="4"/>
      <c r="Z20" s="4"/>
    </row>
    <row r="21" ht="15.75" customHeight="1">
      <c r="A21" s="3" t="s">
        <v>422</v>
      </c>
      <c r="B21" s="3" t="s">
        <v>423</v>
      </c>
      <c r="C21" s="2" t="s">
        <v>297</v>
      </c>
      <c r="D21" s="3" t="s">
        <v>299</v>
      </c>
      <c r="E21" s="3" t="s">
        <v>300</v>
      </c>
      <c r="F21" s="3" t="s">
        <v>301</v>
      </c>
      <c r="G21" s="3" t="s">
        <v>302</v>
      </c>
      <c r="H21" s="3" t="s">
        <v>6</v>
      </c>
      <c r="I21" s="4"/>
      <c r="J21" s="4"/>
      <c r="K21" s="4"/>
      <c r="L21" s="4"/>
      <c r="M21" s="4"/>
      <c r="N21" s="4"/>
      <c r="O21" s="4"/>
      <c r="P21" s="4"/>
      <c r="Q21" s="4"/>
      <c r="R21" s="4"/>
      <c r="S21" s="4"/>
      <c r="T21" s="4"/>
      <c r="U21" s="4"/>
      <c r="V21" s="4"/>
      <c r="W21" s="4"/>
      <c r="X21" s="4"/>
      <c r="Y21" s="4"/>
      <c r="Z21" s="4"/>
    </row>
    <row r="22" ht="15.75" customHeight="1">
      <c r="A22" s="3" t="s">
        <v>424</v>
      </c>
      <c r="B22" s="3" t="s">
        <v>425</v>
      </c>
      <c r="C22" s="2" t="s">
        <v>50</v>
      </c>
      <c r="D22" s="3" t="s">
        <v>51</v>
      </c>
      <c r="E22" s="3" t="s">
        <v>52</v>
      </c>
      <c r="F22" s="3" t="s">
        <v>53</v>
      </c>
      <c r="G22" s="3" t="s">
        <v>54</v>
      </c>
      <c r="H22" s="3" t="s">
        <v>6</v>
      </c>
      <c r="I22" s="4"/>
      <c r="J22" s="4"/>
      <c r="K22" s="4"/>
      <c r="L22" s="4"/>
      <c r="M22" s="4"/>
      <c r="N22" s="4"/>
      <c r="O22" s="4"/>
      <c r="P22" s="4"/>
      <c r="Q22" s="4"/>
      <c r="R22" s="4"/>
      <c r="S22" s="4"/>
      <c r="T22" s="4"/>
      <c r="U22" s="4"/>
      <c r="V22" s="4"/>
      <c r="W22" s="4"/>
      <c r="X22" s="4"/>
      <c r="Y22" s="4"/>
      <c r="Z22" s="4"/>
    </row>
    <row r="23" ht="15.75" customHeight="1">
      <c r="A23" s="3" t="s">
        <v>426</v>
      </c>
      <c r="B23" s="3" t="s">
        <v>427</v>
      </c>
      <c r="C23" s="2" t="s">
        <v>145</v>
      </c>
      <c r="D23" s="3" t="s">
        <v>146</v>
      </c>
      <c r="E23" s="3" t="s">
        <v>147</v>
      </c>
      <c r="F23" s="3" t="s">
        <v>147</v>
      </c>
      <c r="G23" s="3" t="s">
        <v>148</v>
      </c>
      <c r="H23" s="3" t="s">
        <v>6</v>
      </c>
      <c r="I23" s="4"/>
      <c r="J23" s="4"/>
      <c r="K23" s="4"/>
      <c r="L23" s="4"/>
      <c r="M23" s="4"/>
      <c r="N23" s="4"/>
      <c r="O23" s="4"/>
      <c r="P23" s="4"/>
      <c r="Q23" s="4"/>
      <c r="R23" s="4"/>
      <c r="S23" s="4"/>
      <c r="T23" s="4"/>
      <c r="U23" s="4"/>
      <c r="V23" s="4"/>
      <c r="W23" s="4"/>
      <c r="X23" s="4"/>
      <c r="Y23" s="4"/>
      <c r="Z23" s="4"/>
    </row>
    <row r="24" ht="15.75" customHeight="1">
      <c r="A24" s="3" t="s">
        <v>428</v>
      </c>
      <c r="B24" s="3" t="s">
        <v>429</v>
      </c>
      <c r="C24" s="2" t="s">
        <v>193</v>
      </c>
      <c r="D24" s="3" t="s">
        <v>195</v>
      </c>
      <c r="E24" s="3" t="s">
        <v>196</v>
      </c>
      <c r="F24" s="3" t="s">
        <v>197</v>
      </c>
      <c r="G24" s="3" t="s">
        <v>198</v>
      </c>
      <c r="H24" s="3" t="s">
        <v>6</v>
      </c>
      <c r="I24" s="4"/>
      <c r="J24" s="4"/>
      <c r="K24" s="4"/>
      <c r="L24" s="4"/>
      <c r="M24" s="4"/>
      <c r="N24" s="4"/>
      <c r="O24" s="4"/>
      <c r="P24" s="4"/>
      <c r="Q24" s="4"/>
      <c r="R24" s="4"/>
      <c r="S24" s="4"/>
      <c r="T24" s="4"/>
      <c r="U24" s="4"/>
      <c r="V24" s="4"/>
      <c r="W24" s="4"/>
      <c r="X24" s="4"/>
      <c r="Y24" s="4"/>
      <c r="Z24" s="4"/>
    </row>
    <row r="25" ht="15.75" customHeight="1">
      <c r="A25" s="3" t="s">
        <v>430</v>
      </c>
      <c r="B25" s="3" t="s">
        <v>431</v>
      </c>
      <c r="C25" s="2" t="s">
        <v>8</v>
      </c>
      <c r="D25" s="3" t="s">
        <v>10</v>
      </c>
      <c r="E25" s="3" t="s">
        <v>11</v>
      </c>
      <c r="F25" s="3" t="s">
        <v>12</v>
      </c>
      <c r="G25" s="3" t="s">
        <v>13</v>
      </c>
      <c r="H25" s="3" t="s">
        <v>6</v>
      </c>
      <c r="I25" s="4"/>
      <c r="J25" s="4"/>
      <c r="K25" s="4"/>
      <c r="L25" s="4"/>
      <c r="M25" s="4"/>
      <c r="N25" s="4"/>
      <c r="O25" s="4"/>
      <c r="P25" s="4"/>
      <c r="Q25" s="4"/>
      <c r="R25" s="4"/>
      <c r="S25" s="4"/>
      <c r="T25" s="4"/>
      <c r="U25" s="4"/>
      <c r="V25" s="4"/>
      <c r="W25" s="4"/>
      <c r="X25" s="4"/>
      <c r="Y25" s="4"/>
      <c r="Z25" s="4"/>
    </row>
    <row r="26" ht="15.75" customHeight="1">
      <c r="A26" s="3" t="s">
        <v>432</v>
      </c>
      <c r="B26" s="3" t="s">
        <v>433</v>
      </c>
      <c r="C26" s="2" t="s">
        <v>225</v>
      </c>
      <c r="D26" s="3" t="s">
        <v>226</v>
      </c>
      <c r="E26" s="3" t="s">
        <v>227</v>
      </c>
      <c r="F26" s="3" t="s">
        <v>228</v>
      </c>
      <c r="G26" s="3" t="s">
        <v>229</v>
      </c>
      <c r="H26" s="3" t="s">
        <v>6</v>
      </c>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s>
  <printOptions/>
  <pageMargins bottom="0.75" footer="0.0" header="0.0" left="0.7" right="0.7" top="0.75"/>
  <pageSetup orientation="landscape"/>
  <drawing r:id="rId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54.0"/>
    <col customWidth="1" min="3" max="3" width="83.63"/>
    <col customWidth="1" min="4" max="4" width="24.5"/>
    <col customWidth="1" min="5" max="5" width="30.75"/>
    <col customWidth="1" min="6" max="8" width="7.63"/>
  </cols>
  <sheetData>
    <row r="1" ht="15.75" customHeight="1">
      <c r="A1" s="3" t="s">
        <v>382</v>
      </c>
      <c r="B1" s="3" t="s">
        <v>383</v>
      </c>
      <c r="C1" s="3" t="s">
        <v>369</v>
      </c>
      <c r="D1" s="3" t="s">
        <v>373</v>
      </c>
      <c r="E1" s="3" t="s">
        <v>374</v>
      </c>
      <c r="F1" s="3" t="s">
        <v>375</v>
      </c>
      <c r="G1" s="3" t="s">
        <v>376</v>
      </c>
      <c r="H1" s="3" t="s">
        <v>377</v>
      </c>
      <c r="I1" s="4"/>
      <c r="J1" s="4"/>
      <c r="K1" s="4"/>
      <c r="L1" s="4"/>
      <c r="M1" s="4"/>
      <c r="N1" s="4"/>
      <c r="O1" s="4"/>
      <c r="P1" s="4"/>
      <c r="Q1" s="4"/>
      <c r="R1" s="4"/>
      <c r="S1" s="4"/>
      <c r="T1" s="4"/>
      <c r="U1" s="4"/>
      <c r="V1" s="4"/>
      <c r="W1" s="4"/>
      <c r="X1" s="4"/>
      <c r="Y1" s="4"/>
      <c r="Z1" s="4"/>
    </row>
    <row r="2" ht="15.75" customHeight="1">
      <c r="A2" s="3" t="s">
        <v>434</v>
      </c>
      <c r="B2" s="3" t="s">
        <v>435</v>
      </c>
      <c r="C2" s="2" t="s">
        <v>295</v>
      </c>
      <c r="D2" s="3" t="s">
        <v>290</v>
      </c>
      <c r="E2" s="3" t="s">
        <v>291</v>
      </c>
      <c r="F2" s="3" t="s">
        <v>292</v>
      </c>
      <c r="G2" s="3" t="s">
        <v>436</v>
      </c>
      <c r="H2" s="3" t="s">
        <v>6</v>
      </c>
      <c r="I2" s="4"/>
      <c r="J2" s="4"/>
      <c r="K2" s="4"/>
      <c r="L2" s="4"/>
      <c r="M2" s="4"/>
      <c r="N2" s="4"/>
      <c r="O2" s="4"/>
      <c r="P2" s="4"/>
      <c r="Q2" s="4"/>
      <c r="R2" s="4"/>
      <c r="S2" s="4"/>
      <c r="T2" s="4"/>
      <c r="U2" s="4"/>
      <c r="V2" s="4"/>
      <c r="W2" s="4"/>
      <c r="X2" s="4"/>
      <c r="Y2" s="4"/>
      <c r="Z2" s="4"/>
    </row>
    <row r="3" ht="15.75" customHeight="1">
      <c r="A3" s="3" t="s">
        <v>437</v>
      </c>
      <c r="B3" s="3" t="s">
        <v>438</v>
      </c>
      <c r="C3" s="2" t="s">
        <v>165</v>
      </c>
      <c r="D3" s="3" t="s">
        <v>166</v>
      </c>
      <c r="E3" s="3" t="s">
        <v>439</v>
      </c>
      <c r="F3" s="3" t="s">
        <v>439</v>
      </c>
      <c r="G3" s="3" t="s">
        <v>440</v>
      </c>
      <c r="H3" s="3" t="s">
        <v>6</v>
      </c>
      <c r="I3" s="4"/>
      <c r="J3" s="4"/>
      <c r="K3" s="4"/>
      <c r="L3" s="4"/>
      <c r="M3" s="4"/>
      <c r="N3" s="4"/>
      <c r="O3" s="4"/>
      <c r="P3" s="4"/>
      <c r="Q3" s="4"/>
      <c r="R3" s="4"/>
      <c r="S3" s="4"/>
      <c r="T3" s="4"/>
      <c r="U3" s="4"/>
      <c r="V3" s="4"/>
      <c r="W3" s="4"/>
      <c r="X3" s="4"/>
      <c r="Y3" s="4"/>
      <c r="Z3" s="4"/>
    </row>
    <row r="4" ht="15.75" customHeight="1">
      <c r="A4" s="3" t="s">
        <v>441</v>
      </c>
      <c r="B4" s="3" t="s">
        <v>442</v>
      </c>
      <c r="C4" s="2" t="s">
        <v>31</v>
      </c>
      <c r="D4" s="3" t="s">
        <v>33</v>
      </c>
      <c r="E4" s="3" t="s">
        <v>443</v>
      </c>
      <c r="F4" s="3" t="s">
        <v>444</v>
      </c>
      <c r="G4" s="3" t="s">
        <v>445</v>
      </c>
      <c r="H4" s="3" t="s">
        <v>6</v>
      </c>
      <c r="I4" s="4"/>
      <c r="J4" s="4"/>
      <c r="K4" s="4"/>
      <c r="L4" s="4"/>
      <c r="M4" s="4"/>
      <c r="N4" s="4"/>
      <c r="O4" s="4"/>
      <c r="P4" s="4"/>
      <c r="Q4" s="4"/>
      <c r="R4" s="4"/>
      <c r="S4" s="4"/>
      <c r="T4" s="4"/>
      <c r="U4" s="4"/>
      <c r="V4" s="4"/>
      <c r="W4" s="4"/>
      <c r="X4" s="4"/>
      <c r="Y4" s="4"/>
      <c r="Z4" s="4"/>
    </row>
    <row r="5" ht="15.75" customHeight="1">
      <c r="A5" s="3" t="s">
        <v>446</v>
      </c>
      <c r="B5" s="3" t="s">
        <v>447</v>
      </c>
      <c r="C5" s="2" t="s">
        <v>303</v>
      </c>
      <c r="D5" s="3" t="s">
        <v>304</v>
      </c>
      <c r="E5" s="3" t="s">
        <v>448</v>
      </c>
      <c r="F5" s="3" t="s">
        <v>449</v>
      </c>
      <c r="G5" s="3" t="s">
        <v>450</v>
      </c>
      <c r="H5" s="3" t="s">
        <v>6</v>
      </c>
      <c r="I5" s="4"/>
      <c r="J5" s="4"/>
      <c r="K5" s="4"/>
      <c r="L5" s="4"/>
      <c r="M5" s="4"/>
      <c r="N5" s="4"/>
      <c r="O5" s="4"/>
      <c r="P5" s="4"/>
      <c r="Q5" s="4"/>
      <c r="R5" s="4"/>
      <c r="S5" s="4"/>
      <c r="T5" s="4"/>
      <c r="U5" s="4"/>
      <c r="V5" s="4"/>
      <c r="W5" s="4"/>
      <c r="X5" s="4"/>
      <c r="Y5" s="4"/>
      <c r="Z5" s="4"/>
    </row>
    <row r="6" ht="15.75" customHeight="1">
      <c r="A6" s="3" t="s">
        <v>451</v>
      </c>
      <c r="B6" s="3" t="s">
        <v>452</v>
      </c>
      <c r="C6" s="2" t="s">
        <v>26</v>
      </c>
      <c r="D6" s="3" t="s">
        <v>30</v>
      </c>
      <c r="E6" s="3" t="s">
        <v>453</v>
      </c>
      <c r="F6" s="3" t="s">
        <v>454</v>
      </c>
      <c r="G6" s="3" t="s">
        <v>455</v>
      </c>
      <c r="H6" s="3" t="s">
        <v>6</v>
      </c>
      <c r="I6" s="4"/>
      <c r="J6" s="4"/>
      <c r="K6" s="4"/>
      <c r="L6" s="4"/>
      <c r="M6" s="4"/>
      <c r="N6" s="4"/>
      <c r="O6" s="4"/>
      <c r="P6" s="4"/>
      <c r="Q6" s="4"/>
      <c r="R6" s="4"/>
      <c r="S6" s="4"/>
      <c r="T6" s="4"/>
      <c r="U6" s="4"/>
      <c r="V6" s="4"/>
      <c r="W6" s="4"/>
      <c r="X6" s="4"/>
      <c r="Y6" s="4"/>
      <c r="Z6" s="4"/>
    </row>
    <row r="7" ht="15.75" customHeight="1">
      <c r="A7" s="3" t="s">
        <v>456</v>
      </c>
      <c r="B7" s="3" t="s">
        <v>457</v>
      </c>
      <c r="C7" s="2" t="s">
        <v>231</v>
      </c>
      <c r="D7" s="3" t="s">
        <v>233</v>
      </c>
      <c r="E7" s="3" t="s">
        <v>458</v>
      </c>
      <c r="F7" s="3" t="s">
        <v>458</v>
      </c>
      <c r="G7" s="3" t="s">
        <v>459</v>
      </c>
      <c r="H7" s="3" t="s">
        <v>6</v>
      </c>
      <c r="I7" s="4"/>
      <c r="J7" s="4"/>
      <c r="K7" s="4"/>
      <c r="L7" s="4"/>
      <c r="M7" s="4"/>
      <c r="N7" s="4"/>
      <c r="O7" s="4"/>
      <c r="P7" s="4"/>
      <c r="Q7" s="4"/>
      <c r="R7" s="4"/>
      <c r="S7" s="4"/>
      <c r="T7" s="4"/>
      <c r="U7" s="4"/>
      <c r="V7" s="4"/>
      <c r="W7" s="4"/>
      <c r="X7" s="4"/>
      <c r="Y7" s="4"/>
      <c r="Z7" s="4"/>
    </row>
    <row r="8" ht="15.75" customHeight="1">
      <c r="A8" s="3" t="s">
        <v>460</v>
      </c>
      <c r="B8" s="3" t="s">
        <v>461</v>
      </c>
      <c r="C8" s="2" t="s">
        <v>92</v>
      </c>
      <c r="D8" s="3" t="s">
        <v>93</v>
      </c>
      <c r="E8" s="3" t="s">
        <v>462</v>
      </c>
      <c r="F8" s="3" t="s">
        <v>462</v>
      </c>
      <c r="G8" s="3" t="s">
        <v>463</v>
      </c>
      <c r="H8" s="3" t="s">
        <v>6</v>
      </c>
      <c r="I8" s="4"/>
      <c r="J8" s="4"/>
      <c r="K8" s="4"/>
      <c r="L8" s="4"/>
      <c r="M8" s="4"/>
      <c r="N8" s="4"/>
      <c r="O8" s="4"/>
      <c r="P8" s="4"/>
      <c r="Q8" s="4"/>
      <c r="R8" s="4"/>
      <c r="S8" s="4"/>
      <c r="T8" s="4"/>
      <c r="U8" s="4"/>
      <c r="V8" s="4"/>
      <c r="W8" s="4"/>
      <c r="X8" s="4"/>
      <c r="Y8" s="4"/>
      <c r="Z8" s="4"/>
    </row>
    <row r="9" ht="15.75" customHeight="1">
      <c r="A9" s="3" t="s">
        <v>464</v>
      </c>
      <c r="B9" s="3" t="s">
        <v>465</v>
      </c>
      <c r="C9" s="2" t="s">
        <v>134</v>
      </c>
      <c r="D9" s="3" t="s">
        <v>135</v>
      </c>
      <c r="E9" s="3" t="s">
        <v>466</v>
      </c>
      <c r="F9" s="3" t="s">
        <v>467</v>
      </c>
      <c r="G9" s="3" t="s">
        <v>468</v>
      </c>
      <c r="H9" s="3" t="s">
        <v>6</v>
      </c>
      <c r="I9" s="4"/>
      <c r="J9" s="4"/>
      <c r="K9" s="4"/>
      <c r="L9" s="4"/>
      <c r="M9" s="4"/>
      <c r="N9" s="4"/>
      <c r="O9" s="4"/>
      <c r="P9" s="4"/>
      <c r="Q9" s="4"/>
      <c r="R9" s="4"/>
      <c r="S9" s="4"/>
      <c r="T9" s="4"/>
      <c r="U9" s="4"/>
      <c r="V9" s="4"/>
      <c r="W9" s="4"/>
      <c r="X9" s="4"/>
      <c r="Y9" s="4"/>
      <c r="Z9" s="4"/>
    </row>
    <row r="10" ht="15.75" customHeight="1">
      <c r="A10" s="3" t="s">
        <v>469</v>
      </c>
      <c r="B10" s="3" t="s">
        <v>470</v>
      </c>
      <c r="C10" s="2" t="s">
        <v>353</v>
      </c>
      <c r="D10" s="3" t="s">
        <v>355</v>
      </c>
      <c r="E10" s="3" t="s">
        <v>471</v>
      </c>
      <c r="F10" s="3" t="s">
        <v>472</v>
      </c>
      <c r="G10" s="3" t="s">
        <v>473</v>
      </c>
      <c r="H10" s="3" t="s">
        <v>6</v>
      </c>
      <c r="I10" s="4"/>
      <c r="J10" s="4"/>
      <c r="K10" s="4"/>
      <c r="L10" s="4"/>
      <c r="M10" s="4"/>
      <c r="N10" s="4"/>
      <c r="O10" s="4"/>
      <c r="P10" s="4"/>
      <c r="Q10" s="4"/>
      <c r="R10" s="4"/>
      <c r="S10" s="4"/>
      <c r="T10" s="4"/>
      <c r="U10" s="4"/>
      <c r="V10" s="4"/>
      <c r="W10" s="4"/>
      <c r="X10" s="4"/>
      <c r="Y10" s="4"/>
      <c r="Z10" s="4"/>
    </row>
    <row r="11" ht="15.75" customHeight="1">
      <c r="A11" s="3" t="s">
        <v>474</v>
      </c>
      <c r="B11" s="3" t="s">
        <v>475</v>
      </c>
      <c r="C11" s="2" t="s">
        <v>222</v>
      </c>
      <c r="D11" s="3" t="s">
        <v>224</v>
      </c>
      <c r="E11" s="3" t="s">
        <v>476</v>
      </c>
      <c r="F11" s="3" t="s">
        <v>477</v>
      </c>
      <c r="G11" s="3" t="s">
        <v>478</v>
      </c>
      <c r="H11" s="3" t="s">
        <v>6</v>
      </c>
      <c r="I11" s="4"/>
      <c r="J11" s="4"/>
      <c r="K11" s="4"/>
      <c r="L11" s="4"/>
      <c r="M11" s="4"/>
      <c r="N11" s="4"/>
      <c r="O11" s="4"/>
      <c r="P11" s="4"/>
      <c r="Q11" s="4"/>
      <c r="R11" s="4"/>
      <c r="S11" s="4"/>
      <c r="T11" s="4"/>
      <c r="U11" s="4"/>
      <c r="V11" s="4"/>
      <c r="W11" s="4"/>
      <c r="X11" s="4"/>
      <c r="Y11" s="4"/>
      <c r="Z11" s="4"/>
    </row>
    <row r="12" ht="15.75" customHeight="1">
      <c r="A12" s="3" t="s">
        <v>479</v>
      </c>
      <c r="B12" s="3" t="s">
        <v>480</v>
      </c>
      <c r="C12" s="2" t="s">
        <v>90</v>
      </c>
      <c r="D12" s="3" t="s">
        <v>91</v>
      </c>
      <c r="E12" s="3" t="s">
        <v>481</v>
      </c>
      <c r="F12" s="3" t="s">
        <v>482</v>
      </c>
      <c r="G12" s="3" t="s">
        <v>483</v>
      </c>
      <c r="H12" s="3" t="s">
        <v>6</v>
      </c>
      <c r="I12" s="4"/>
      <c r="J12" s="4"/>
      <c r="K12" s="4"/>
      <c r="L12" s="4"/>
      <c r="M12" s="4"/>
      <c r="N12" s="4"/>
      <c r="O12" s="4"/>
      <c r="P12" s="4"/>
      <c r="Q12" s="4"/>
      <c r="R12" s="4"/>
      <c r="S12" s="4"/>
      <c r="T12" s="4"/>
      <c r="U12" s="4"/>
      <c r="V12" s="4"/>
      <c r="W12" s="4"/>
      <c r="X12" s="4"/>
      <c r="Y12" s="4"/>
      <c r="Z12" s="4"/>
    </row>
    <row r="13" ht="15.75" customHeight="1">
      <c r="A13" s="3" t="s">
        <v>484</v>
      </c>
      <c r="B13" s="3" t="s">
        <v>485</v>
      </c>
      <c r="C13" s="2" t="s">
        <v>136</v>
      </c>
      <c r="D13" s="3" t="s">
        <v>139</v>
      </c>
      <c r="E13" s="3" t="s">
        <v>486</v>
      </c>
      <c r="F13" s="3" t="s">
        <v>487</v>
      </c>
      <c r="G13" s="3" t="s">
        <v>488</v>
      </c>
      <c r="H13" s="3" t="s">
        <v>6</v>
      </c>
      <c r="I13" s="4"/>
      <c r="J13" s="4"/>
      <c r="K13" s="4"/>
      <c r="L13" s="4"/>
      <c r="M13" s="4"/>
      <c r="N13" s="4"/>
      <c r="O13" s="4"/>
      <c r="P13" s="4"/>
      <c r="Q13" s="4"/>
      <c r="R13" s="4"/>
      <c r="S13" s="4"/>
      <c r="T13" s="4"/>
      <c r="U13" s="4"/>
      <c r="V13" s="4"/>
      <c r="W13" s="4"/>
      <c r="X13" s="4"/>
      <c r="Y13" s="4"/>
      <c r="Z13" s="4"/>
    </row>
    <row r="14" ht="15.75" customHeight="1">
      <c r="A14" s="3" t="s">
        <v>489</v>
      </c>
      <c r="B14" s="3" t="s">
        <v>490</v>
      </c>
      <c r="C14" s="2" t="s">
        <v>358</v>
      </c>
      <c r="D14" s="3" t="s">
        <v>360</v>
      </c>
      <c r="E14" s="3" t="s">
        <v>491</v>
      </c>
      <c r="F14" s="3" t="s">
        <v>492</v>
      </c>
      <c r="G14" s="3" t="s">
        <v>493</v>
      </c>
      <c r="H14" s="3" t="s">
        <v>6</v>
      </c>
      <c r="I14" s="4"/>
      <c r="J14" s="4"/>
      <c r="K14" s="4"/>
      <c r="L14" s="4"/>
      <c r="M14" s="4"/>
      <c r="N14" s="4"/>
      <c r="O14" s="4"/>
      <c r="P14" s="4"/>
      <c r="Q14" s="4"/>
      <c r="R14" s="4"/>
      <c r="S14" s="4"/>
      <c r="T14" s="4"/>
      <c r="U14" s="4"/>
      <c r="V14" s="4"/>
      <c r="W14" s="4"/>
      <c r="X14" s="4"/>
      <c r="Y14" s="4"/>
      <c r="Z14" s="4"/>
    </row>
    <row r="15" ht="15.75" customHeight="1">
      <c r="A15" s="3" t="s">
        <v>494</v>
      </c>
      <c r="B15" s="3" t="s">
        <v>495</v>
      </c>
      <c r="C15" s="2" t="s">
        <v>155</v>
      </c>
      <c r="D15" s="3" t="s">
        <v>157</v>
      </c>
      <c r="E15" s="3" t="s">
        <v>496</v>
      </c>
      <c r="F15" s="3" t="s">
        <v>497</v>
      </c>
      <c r="G15" s="3" t="s">
        <v>498</v>
      </c>
      <c r="H15" s="3" t="s">
        <v>6</v>
      </c>
      <c r="I15" s="4"/>
      <c r="J15" s="4"/>
      <c r="K15" s="4"/>
      <c r="L15" s="4"/>
      <c r="M15" s="4"/>
      <c r="N15" s="4"/>
      <c r="O15" s="4"/>
      <c r="P15" s="4"/>
      <c r="Q15" s="4"/>
      <c r="R15" s="4"/>
      <c r="S15" s="4"/>
      <c r="T15" s="4"/>
      <c r="U15" s="4"/>
      <c r="V15" s="4"/>
      <c r="W15" s="4"/>
      <c r="X15" s="4"/>
      <c r="Y15" s="4"/>
      <c r="Z15" s="4"/>
    </row>
    <row r="16" ht="15.75" customHeight="1">
      <c r="A16" s="3" t="s">
        <v>499</v>
      </c>
      <c r="B16" s="3" t="s">
        <v>500</v>
      </c>
      <c r="C16" s="2" t="s">
        <v>339</v>
      </c>
      <c r="D16" s="3" t="s">
        <v>341</v>
      </c>
      <c r="E16" s="3" t="s">
        <v>501</v>
      </c>
      <c r="F16" s="3" t="s">
        <v>502</v>
      </c>
      <c r="G16" s="3" t="s">
        <v>503</v>
      </c>
      <c r="H16" s="3" t="s">
        <v>6</v>
      </c>
      <c r="I16" s="4"/>
      <c r="J16" s="4"/>
      <c r="K16" s="4"/>
      <c r="L16" s="4"/>
      <c r="M16" s="4"/>
      <c r="N16" s="4"/>
      <c r="O16" s="4"/>
      <c r="P16" s="4"/>
      <c r="Q16" s="4"/>
      <c r="R16" s="4"/>
      <c r="S16" s="4"/>
      <c r="T16" s="4"/>
      <c r="U16" s="4"/>
      <c r="V16" s="4"/>
      <c r="W16" s="4"/>
      <c r="X16" s="4"/>
      <c r="Y16" s="4"/>
      <c r="Z16" s="4"/>
    </row>
    <row r="17" ht="15.75" customHeight="1">
      <c r="A17" s="3" t="s">
        <v>504</v>
      </c>
      <c r="B17" s="3" t="s">
        <v>505</v>
      </c>
      <c r="C17" s="2" t="s">
        <v>283</v>
      </c>
      <c r="D17" s="3" t="s">
        <v>285</v>
      </c>
      <c r="E17" s="3" t="s">
        <v>506</v>
      </c>
      <c r="F17" s="3" t="s">
        <v>507</v>
      </c>
      <c r="G17" s="3" t="s">
        <v>508</v>
      </c>
      <c r="H17" s="3" t="s">
        <v>6</v>
      </c>
      <c r="I17" s="4"/>
      <c r="J17" s="4"/>
      <c r="K17" s="4"/>
      <c r="L17" s="4"/>
      <c r="M17" s="4"/>
      <c r="N17" s="4"/>
      <c r="O17" s="4"/>
      <c r="P17" s="4"/>
      <c r="Q17" s="4"/>
      <c r="R17" s="4"/>
      <c r="S17" s="4"/>
      <c r="T17" s="4"/>
      <c r="U17" s="4"/>
      <c r="V17" s="4"/>
      <c r="W17" s="4"/>
      <c r="X17" s="4"/>
      <c r="Y17" s="4"/>
      <c r="Z17" s="4"/>
    </row>
    <row r="18" ht="15.75" customHeight="1">
      <c r="A18" s="3" t="s">
        <v>509</v>
      </c>
      <c r="B18" s="3" t="s">
        <v>510</v>
      </c>
      <c r="C18" s="2" t="s">
        <v>160</v>
      </c>
      <c r="D18" s="3" t="s">
        <v>161</v>
      </c>
      <c r="E18" s="3" t="s">
        <v>511</v>
      </c>
      <c r="F18" s="3" t="s">
        <v>512</v>
      </c>
      <c r="G18" s="3" t="s">
        <v>513</v>
      </c>
      <c r="H18" s="3" t="s">
        <v>6</v>
      </c>
      <c r="I18" s="4"/>
      <c r="J18" s="4"/>
      <c r="K18" s="4"/>
      <c r="L18" s="4"/>
      <c r="M18" s="4"/>
      <c r="N18" s="4"/>
      <c r="O18" s="4"/>
      <c r="P18" s="4"/>
      <c r="Q18" s="4"/>
      <c r="R18" s="4"/>
      <c r="S18" s="4"/>
      <c r="T18" s="4"/>
      <c r="U18" s="4"/>
      <c r="V18" s="4"/>
      <c r="W18" s="4"/>
      <c r="X18" s="4"/>
      <c r="Y18" s="4"/>
      <c r="Z18" s="4"/>
    </row>
    <row r="19" ht="15.75" customHeight="1">
      <c r="A19" s="3" t="s">
        <v>514</v>
      </c>
      <c r="B19" s="3" t="s">
        <v>515</v>
      </c>
      <c r="C19" s="2" t="s">
        <v>286</v>
      </c>
      <c r="D19" s="3" t="s">
        <v>288</v>
      </c>
      <c r="E19" s="3" t="s">
        <v>516</v>
      </c>
      <c r="F19" s="3" t="s">
        <v>517</v>
      </c>
      <c r="G19" s="3" t="s">
        <v>518</v>
      </c>
      <c r="H19" s="3" t="s">
        <v>6</v>
      </c>
      <c r="I19" s="4"/>
      <c r="J19" s="4"/>
      <c r="K19" s="4"/>
      <c r="L19" s="4"/>
      <c r="M19" s="4"/>
      <c r="N19" s="4"/>
      <c r="O19" s="4"/>
      <c r="P19" s="4"/>
      <c r="Q19" s="4"/>
      <c r="R19" s="4"/>
      <c r="S19" s="4"/>
      <c r="T19" s="4"/>
      <c r="U19" s="4"/>
      <c r="V19" s="4"/>
      <c r="W19" s="4"/>
      <c r="X19" s="4"/>
      <c r="Y19" s="4"/>
      <c r="Z19" s="4"/>
    </row>
    <row r="20" ht="15.75" customHeight="1">
      <c r="A20" s="3" t="s">
        <v>519</v>
      </c>
      <c r="B20" s="3" t="s">
        <v>520</v>
      </c>
      <c r="C20" s="2" t="s">
        <v>188</v>
      </c>
      <c r="D20" s="3" t="s">
        <v>190</v>
      </c>
      <c r="E20" s="3" t="s">
        <v>521</v>
      </c>
      <c r="F20" s="3" t="s">
        <v>522</v>
      </c>
      <c r="G20" s="3" t="s">
        <v>523</v>
      </c>
      <c r="H20" s="3" t="s">
        <v>6</v>
      </c>
      <c r="I20" s="4"/>
      <c r="J20" s="4"/>
      <c r="K20" s="4"/>
      <c r="L20" s="4"/>
      <c r="M20" s="4"/>
      <c r="N20" s="4"/>
      <c r="O20" s="4"/>
      <c r="P20" s="4"/>
      <c r="Q20" s="4"/>
      <c r="R20" s="4"/>
      <c r="S20" s="4"/>
      <c r="T20" s="4"/>
      <c r="U20" s="4"/>
      <c r="V20" s="4"/>
      <c r="W20" s="4"/>
      <c r="X20" s="4"/>
      <c r="Y20" s="4"/>
      <c r="Z20" s="4"/>
    </row>
    <row r="21" ht="15.75" customHeight="1">
      <c r="A21" s="3" t="s">
        <v>524</v>
      </c>
      <c r="B21" s="3" t="s">
        <v>525</v>
      </c>
      <c r="C21" s="2" t="s">
        <v>158</v>
      </c>
      <c r="D21" s="3" t="s">
        <v>159</v>
      </c>
      <c r="E21" s="3" t="s">
        <v>526</v>
      </c>
      <c r="F21" s="3" t="s">
        <v>527</v>
      </c>
      <c r="G21" s="3" t="s">
        <v>528</v>
      </c>
      <c r="H21" s="3" t="s">
        <v>6</v>
      </c>
      <c r="I21" s="4"/>
      <c r="J21" s="4"/>
      <c r="K21" s="4"/>
      <c r="L21" s="4"/>
      <c r="M21" s="4"/>
      <c r="N21" s="4"/>
      <c r="O21" s="4"/>
      <c r="P21" s="4"/>
      <c r="Q21" s="4"/>
      <c r="R21" s="4"/>
      <c r="S21" s="4"/>
      <c r="T21" s="4"/>
      <c r="U21" s="4"/>
      <c r="V21" s="4"/>
      <c r="W21" s="4"/>
      <c r="X21" s="4"/>
      <c r="Y21" s="4"/>
      <c r="Z21" s="4"/>
    </row>
    <row r="22" ht="15.75" customHeight="1">
      <c r="A22" s="3" t="s">
        <v>529</v>
      </c>
      <c r="B22" s="3" t="s">
        <v>530</v>
      </c>
      <c r="C22" s="2" t="s">
        <v>124</v>
      </c>
      <c r="D22" s="3" t="s">
        <v>126</v>
      </c>
      <c r="E22" s="3" t="s">
        <v>531</v>
      </c>
      <c r="F22" s="3" t="s">
        <v>532</v>
      </c>
      <c r="G22" s="3" t="s">
        <v>533</v>
      </c>
      <c r="H22" s="3" t="s">
        <v>6</v>
      </c>
      <c r="I22" s="4"/>
      <c r="J22" s="4"/>
      <c r="K22" s="4"/>
      <c r="L22" s="4"/>
      <c r="M22" s="4"/>
      <c r="N22" s="4"/>
      <c r="O22" s="4"/>
      <c r="P22" s="4"/>
      <c r="Q22" s="4"/>
      <c r="R22" s="4"/>
      <c r="S22" s="4"/>
      <c r="T22" s="4"/>
      <c r="U22" s="4"/>
      <c r="V22" s="4"/>
      <c r="W22" s="4"/>
      <c r="X22" s="4"/>
      <c r="Y22" s="4"/>
      <c r="Z22" s="4"/>
    </row>
    <row r="23" ht="15.75" customHeight="1">
      <c r="A23" s="3" t="s">
        <v>534</v>
      </c>
      <c r="B23" s="3" t="s">
        <v>535</v>
      </c>
      <c r="C23" s="2" t="s">
        <v>172</v>
      </c>
      <c r="D23" s="3" t="s">
        <v>173</v>
      </c>
      <c r="E23" s="3" t="s">
        <v>536</v>
      </c>
      <c r="F23" s="3" t="s">
        <v>537</v>
      </c>
      <c r="G23" s="3" t="s">
        <v>538</v>
      </c>
      <c r="H23" s="3" t="s">
        <v>6</v>
      </c>
      <c r="I23" s="4"/>
      <c r="J23" s="4"/>
      <c r="K23" s="4"/>
      <c r="L23" s="4"/>
      <c r="M23" s="4"/>
      <c r="N23" s="4"/>
      <c r="O23" s="4"/>
      <c r="P23" s="4"/>
      <c r="Q23" s="4"/>
      <c r="R23" s="4"/>
      <c r="S23" s="4"/>
      <c r="T23" s="4"/>
      <c r="U23" s="4"/>
      <c r="V23" s="4"/>
      <c r="W23" s="4"/>
      <c r="X23" s="4"/>
      <c r="Y23" s="4"/>
      <c r="Z23" s="4"/>
    </row>
    <row r="24" ht="15.75" customHeight="1">
      <c r="A24" s="3" t="s">
        <v>539</v>
      </c>
      <c r="B24" s="3" t="s">
        <v>540</v>
      </c>
      <c r="C24" s="2" t="s">
        <v>132</v>
      </c>
      <c r="D24" s="3" t="s">
        <v>133</v>
      </c>
      <c r="E24" s="3" t="s">
        <v>541</v>
      </c>
      <c r="F24" s="3" t="s">
        <v>541</v>
      </c>
      <c r="G24" s="3" t="s">
        <v>542</v>
      </c>
      <c r="H24" s="3" t="s">
        <v>6</v>
      </c>
      <c r="I24" s="4"/>
      <c r="J24" s="4"/>
      <c r="K24" s="4"/>
      <c r="L24" s="4"/>
      <c r="M24" s="4"/>
      <c r="N24" s="4"/>
      <c r="O24" s="4"/>
      <c r="P24" s="4"/>
      <c r="Q24" s="4"/>
      <c r="R24" s="4"/>
      <c r="S24" s="4"/>
      <c r="T24" s="4"/>
      <c r="U24" s="4"/>
      <c r="V24" s="4"/>
      <c r="W24" s="4"/>
      <c r="X24" s="4"/>
      <c r="Y24" s="4"/>
      <c r="Z24" s="4"/>
    </row>
    <row r="25" ht="15.75" customHeight="1">
      <c r="A25" s="3" t="s">
        <v>543</v>
      </c>
      <c r="B25" s="3" t="s">
        <v>544</v>
      </c>
      <c r="C25" s="2" t="s">
        <v>280</v>
      </c>
      <c r="D25" s="3" t="s">
        <v>282</v>
      </c>
      <c r="E25" s="3" t="s">
        <v>545</v>
      </c>
      <c r="F25" s="3" t="s">
        <v>546</v>
      </c>
      <c r="G25" s="3" t="s">
        <v>547</v>
      </c>
      <c r="H25" s="3" t="s">
        <v>6</v>
      </c>
      <c r="I25" s="4"/>
      <c r="J25" s="4"/>
      <c r="K25" s="4"/>
      <c r="L25" s="4"/>
      <c r="M25" s="4"/>
      <c r="N25" s="4"/>
      <c r="O25" s="4"/>
      <c r="P25" s="4"/>
      <c r="Q25" s="4"/>
      <c r="R25" s="4"/>
      <c r="S25" s="4"/>
      <c r="T25" s="4"/>
      <c r="U25" s="4"/>
      <c r="V25" s="4"/>
      <c r="W25" s="4"/>
      <c r="X25" s="4"/>
      <c r="Y25" s="4"/>
      <c r="Z25" s="4"/>
    </row>
    <row r="26" ht="15.75" customHeight="1">
      <c r="A26" s="3" t="s">
        <v>548</v>
      </c>
      <c r="B26" s="3" t="s">
        <v>549</v>
      </c>
      <c r="C26" s="2" t="s">
        <v>109</v>
      </c>
      <c r="D26" s="3" t="s">
        <v>111</v>
      </c>
      <c r="E26" s="3" t="s">
        <v>550</v>
      </c>
      <c r="F26" s="3" t="s">
        <v>551</v>
      </c>
      <c r="G26" s="3" t="s">
        <v>552</v>
      </c>
      <c r="H26" s="3" t="s">
        <v>6</v>
      </c>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s>
  <printOptions/>
  <pageMargins bottom="0.75" footer="0.0" header="0.0" left="0.7" right="0.7" top="0.75"/>
  <pageSetup orientation="landscape"/>
  <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7.63"/>
  </cols>
  <sheetData>
    <row r="1" ht="15.75" customHeight="1">
      <c r="A1" s="3" t="s">
        <v>382</v>
      </c>
      <c r="B1" s="3" t="s">
        <v>383</v>
      </c>
      <c r="C1" s="3" t="s">
        <v>369</v>
      </c>
      <c r="D1" s="3" t="s">
        <v>373</v>
      </c>
      <c r="E1" s="3" t="s">
        <v>374</v>
      </c>
      <c r="F1" s="3" t="s">
        <v>375</v>
      </c>
      <c r="G1" s="3" t="s">
        <v>376</v>
      </c>
      <c r="H1" s="3" t="s">
        <v>377</v>
      </c>
      <c r="I1" s="4"/>
      <c r="J1" s="4"/>
      <c r="K1" s="4"/>
      <c r="L1" s="4"/>
      <c r="M1" s="4"/>
      <c r="N1" s="4"/>
      <c r="O1" s="4"/>
      <c r="P1" s="4"/>
      <c r="Q1" s="4"/>
      <c r="R1" s="4"/>
      <c r="S1" s="4"/>
      <c r="T1" s="4"/>
      <c r="U1" s="4"/>
      <c r="V1" s="4"/>
      <c r="W1" s="4"/>
      <c r="X1" s="4"/>
      <c r="Y1" s="4"/>
      <c r="Z1" s="4"/>
    </row>
    <row r="2" ht="15.75" customHeight="1">
      <c r="A2" s="3" t="s">
        <v>553</v>
      </c>
      <c r="B2" s="3" t="s">
        <v>554</v>
      </c>
      <c r="C2" s="2" t="s">
        <v>88</v>
      </c>
      <c r="D2" s="3" t="s">
        <v>89</v>
      </c>
      <c r="E2" s="3" t="s">
        <v>555</v>
      </c>
      <c r="F2" s="3" t="s">
        <v>556</v>
      </c>
      <c r="G2" s="3" t="s">
        <v>557</v>
      </c>
      <c r="H2" s="3" t="s">
        <v>6</v>
      </c>
      <c r="I2" s="4"/>
      <c r="J2" s="4"/>
      <c r="K2" s="4"/>
      <c r="L2" s="4"/>
      <c r="M2" s="4"/>
      <c r="N2" s="4"/>
      <c r="O2" s="4"/>
      <c r="P2" s="4"/>
      <c r="Q2" s="4"/>
      <c r="R2" s="4"/>
      <c r="S2" s="4"/>
      <c r="T2" s="4"/>
      <c r="U2" s="4"/>
      <c r="V2" s="4"/>
      <c r="W2" s="4"/>
      <c r="X2" s="4"/>
      <c r="Y2" s="4"/>
      <c r="Z2" s="4"/>
    </row>
    <row r="3" ht="15.75" customHeight="1">
      <c r="A3" s="3" t="s">
        <v>558</v>
      </c>
      <c r="B3" s="3" t="s">
        <v>559</v>
      </c>
      <c r="C3" s="2" t="s">
        <v>278</v>
      </c>
      <c r="D3" s="3" t="s">
        <v>279</v>
      </c>
      <c r="E3" s="3" t="s">
        <v>560</v>
      </c>
      <c r="F3" s="3" t="s">
        <v>561</v>
      </c>
      <c r="G3" s="3" t="s">
        <v>562</v>
      </c>
      <c r="H3" s="3" t="s">
        <v>6</v>
      </c>
      <c r="I3" s="4"/>
      <c r="J3" s="4"/>
      <c r="K3" s="4"/>
      <c r="L3" s="4"/>
      <c r="M3" s="4"/>
      <c r="N3" s="4"/>
      <c r="O3" s="4"/>
      <c r="P3" s="4"/>
      <c r="Q3" s="4"/>
      <c r="R3" s="4"/>
      <c r="S3" s="4"/>
      <c r="T3" s="4"/>
      <c r="U3" s="4"/>
      <c r="V3" s="4"/>
      <c r="W3" s="4"/>
      <c r="X3" s="4"/>
      <c r="Y3" s="4"/>
      <c r="Z3" s="4"/>
    </row>
    <row r="4" ht="15.75" customHeight="1">
      <c r="A4" s="3" t="s">
        <v>563</v>
      </c>
      <c r="B4" s="3" t="s">
        <v>564</v>
      </c>
      <c r="C4" s="2" t="s">
        <v>213</v>
      </c>
      <c r="D4" s="3" t="s">
        <v>214</v>
      </c>
      <c r="E4" s="3" t="s">
        <v>565</v>
      </c>
      <c r="F4" s="3" t="s">
        <v>566</v>
      </c>
      <c r="G4" s="3" t="s">
        <v>567</v>
      </c>
      <c r="H4" s="3" t="s">
        <v>6</v>
      </c>
      <c r="I4" s="4"/>
      <c r="J4" s="4"/>
      <c r="K4" s="4"/>
      <c r="L4" s="4"/>
      <c r="M4" s="4"/>
      <c r="N4" s="4"/>
      <c r="O4" s="4"/>
      <c r="P4" s="4"/>
      <c r="Q4" s="4"/>
      <c r="R4" s="4"/>
      <c r="S4" s="4"/>
      <c r="T4" s="4"/>
      <c r="U4" s="4"/>
      <c r="V4" s="4"/>
      <c r="W4" s="4"/>
      <c r="X4" s="4"/>
      <c r="Y4" s="4"/>
      <c r="Z4" s="4"/>
    </row>
    <row r="5" ht="15.75" customHeight="1">
      <c r="A5" s="3" t="s">
        <v>568</v>
      </c>
      <c r="B5" s="3" t="s">
        <v>569</v>
      </c>
      <c r="C5" s="2" t="s">
        <v>336</v>
      </c>
      <c r="D5" s="3" t="s">
        <v>338</v>
      </c>
      <c r="E5" s="3" t="s">
        <v>570</v>
      </c>
      <c r="F5" s="3" t="s">
        <v>570</v>
      </c>
      <c r="G5" s="3" t="s">
        <v>571</v>
      </c>
      <c r="H5" s="3" t="s">
        <v>6</v>
      </c>
      <c r="I5" s="4"/>
      <c r="J5" s="4"/>
      <c r="K5" s="4"/>
      <c r="L5" s="4"/>
      <c r="M5" s="4"/>
      <c r="N5" s="4"/>
      <c r="O5" s="4"/>
      <c r="P5" s="4"/>
      <c r="Q5" s="4"/>
      <c r="R5" s="4"/>
      <c r="S5" s="4"/>
      <c r="T5" s="4"/>
      <c r="U5" s="4"/>
      <c r="V5" s="4"/>
      <c r="W5" s="4"/>
      <c r="X5" s="4"/>
      <c r="Y5" s="4"/>
      <c r="Z5" s="4"/>
    </row>
    <row r="6" ht="15.75" customHeight="1">
      <c r="A6" s="3" t="s">
        <v>572</v>
      </c>
      <c r="B6" s="3" t="s">
        <v>573</v>
      </c>
      <c r="C6" s="2" t="s">
        <v>84</v>
      </c>
      <c r="D6" s="3" t="s">
        <v>87</v>
      </c>
      <c r="E6" s="3" t="s">
        <v>574</v>
      </c>
      <c r="F6" s="3" t="s">
        <v>575</v>
      </c>
      <c r="G6" s="3" t="s">
        <v>576</v>
      </c>
      <c r="H6" s="3" t="s">
        <v>6</v>
      </c>
      <c r="I6" s="4"/>
      <c r="J6" s="4"/>
      <c r="K6" s="4"/>
      <c r="L6" s="4"/>
      <c r="M6" s="4"/>
      <c r="N6" s="4"/>
      <c r="O6" s="4"/>
      <c r="P6" s="4"/>
      <c r="Q6" s="4"/>
      <c r="R6" s="4"/>
      <c r="S6" s="4"/>
      <c r="T6" s="4"/>
      <c r="U6" s="4"/>
      <c r="V6" s="4"/>
      <c r="W6" s="4"/>
      <c r="X6" s="4"/>
      <c r="Y6" s="4"/>
      <c r="Z6" s="4"/>
    </row>
    <row r="7" ht="15.75" customHeight="1">
      <c r="A7" s="3" t="s">
        <v>577</v>
      </c>
      <c r="B7" s="3" t="s">
        <v>578</v>
      </c>
      <c r="C7" s="2" t="s">
        <v>95</v>
      </c>
      <c r="D7" s="3" t="s">
        <v>97</v>
      </c>
      <c r="E7" s="3" t="s">
        <v>579</v>
      </c>
      <c r="F7" s="3" t="s">
        <v>580</v>
      </c>
      <c r="G7" s="3" t="s">
        <v>581</v>
      </c>
      <c r="H7" s="3" t="s">
        <v>6</v>
      </c>
      <c r="I7" s="4"/>
      <c r="J7" s="4"/>
      <c r="K7" s="4"/>
      <c r="L7" s="4"/>
      <c r="M7" s="4"/>
      <c r="N7" s="4"/>
      <c r="O7" s="4"/>
      <c r="P7" s="4"/>
      <c r="Q7" s="4"/>
      <c r="R7" s="4"/>
      <c r="S7" s="4"/>
      <c r="T7" s="4"/>
      <c r="U7" s="4"/>
      <c r="V7" s="4"/>
      <c r="W7" s="4"/>
      <c r="X7" s="4"/>
      <c r="Y7" s="4"/>
      <c r="Z7" s="4"/>
    </row>
    <row r="8" ht="15.75" customHeight="1">
      <c r="A8" s="3" t="s">
        <v>582</v>
      </c>
      <c r="B8" s="3" t="s">
        <v>583</v>
      </c>
      <c r="C8" s="2" t="s">
        <v>127</v>
      </c>
      <c r="D8" s="3" t="s">
        <v>128</v>
      </c>
      <c r="E8" s="3" t="s">
        <v>584</v>
      </c>
      <c r="F8" s="3" t="s">
        <v>585</v>
      </c>
      <c r="G8" s="3" t="s">
        <v>586</v>
      </c>
      <c r="H8" s="3" t="s">
        <v>6</v>
      </c>
      <c r="I8" s="4"/>
      <c r="J8" s="4"/>
      <c r="K8" s="4"/>
      <c r="L8" s="4"/>
      <c r="M8" s="4"/>
      <c r="N8" s="4"/>
      <c r="O8" s="4"/>
      <c r="P8" s="4"/>
      <c r="Q8" s="4"/>
      <c r="R8" s="4"/>
      <c r="S8" s="4"/>
      <c r="T8" s="4"/>
      <c r="U8" s="4"/>
      <c r="V8" s="4"/>
      <c r="W8" s="4"/>
      <c r="X8" s="4"/>
      <c r="Y8" s="4"/>
      <c r="Z8" s="4"/>
    </row>
    <row r="9" ht="15.75" customHeight="1">
      <c r="A9" s="3" t="s">
        <v>587</v>
      </c>
      <c r="B9" s="3" t="s">
        <v>588</v>
      </c>
      <c r="C9" s="2" t="s">
        <v>248</v>
      </c>
      <c r="D9" s="3" t="s">
        <v>249</v>
      </c>
      <c r="E9" s="3" t="s">
        <v>589</v>
      </c>
      <c r="F9" s="3" t="s">
        <v>590</v>
      </c>
      <c r="G9" s="3" t="s">
        <v>591</v>
      </c>
      <c r="H9" s="3" t="s">
        <v>6</v>
      </c>
      <c r="I9" s="4"/>
      <c r="J9" s="4"/>
      <c r="K9" s="4"/>
      <c r="L9" s="4"/>
      <c r="M9" s="4"/>
      <c r="N9" s="4"/>
      <c r="O9" s="4"/>
      <c r="P9" s="4"/>
      <c r="Q9" s="4"/>
      <c r="R9" s="4"/>
      <c r="S9" s="4"/>
      <c r="T9" s="4"/>
      <c r="U9" s="4"/>
      <c r="V9" s="4"/>
      <c r="W9" s="4"/>
      <c r="X9" s="4"/>
      <c r="Y9" s="4"/>
      <c r="Z9" s="4"/>
    </row>
    <row r="10" ht="15.75" customHeight="1">
      <c r="A10" s="3" t="s">
        <v>592</v>
      </c>
      <c r="B10" s="3" t="s">
        <v>593</v>
      </c>
      <c r="C10" s="2" t="s">
        <v>34</v>
      </c>
      <c r="D10" s="3" t="s">
        <v>35</v>
      </c>
      <c r="E10" s="3" t="s">
        <v>594</v>
      </c>
      <c r="F10" s="3" t="s">
        <v>595</v>
      </c>
      <c r="G10" s="3" t="s">
        <v>596</v>
      </c>
      <c r="H10" s="3" t="s">
        <v>6</v>
      </c>
      <c r="I10" s="4"/>
      <c r="J10" s="4"/>
      <c r="K10" s="4"/>
      <c r="L10" s="4"/>
      <c r="M10" s="4"/>
      <c r="N10" s="4"/>
      <c r="O10" s="4"/>
      <c r="P10" s="4"/>
      <c r="Q10" s="4"/>
      <c r="R10" s="4"/>
      <c r="S10" s="4"/>
      <c r="T10" s="4"/>
      <c r="U10" s="4"/>
      <c r="V10" s="4"/>
      <c r="W10" s="4"/>
      <c r="X10" s="4"/>
      <c r="Y10" s="4"/>
      <c r="Z10" s="4"/>
    </row>
    <row r="11" ht="15.75" customHeight="1">
      <c r="A11" s="3" t="s">
        <v>597</v>
      </c>
      <c r="B11" s="3" t="s">
        <v>598</v>
      </c>
      <c r="C11" s="2" t="s">
        <v>176</v>
      </c>
      <c r="D11" s="3" t="s">
        <v>178</v>
      </c>
      <c r="E11" s="3" t="s">
        <v>599</v>
      </c>
      <c r="F11" s="3" t="s">
        <v>600</v>
      </c>
      <c r="G11" s="3" t="s">
        <v>601</v>
      </c>
      <c r="H11" s="3" t="s">
        <v>6</v>
      </c>
      <c r="I11" s="4"/>
      <c r="J11" s="4"/>
      <c r="K11" s="4"/>
      <c r="L11" s="4"/>
      <c r="M11" s="4"/>
      <c r="N11" s="4"/>
      <c r="O11" s="4"/>
      <c r="P11" s="4"/>
      <c r="Q11" s="4"/>
      <c r="R11" s="4"/>
      <c r="S11" s="4"/>
      <c r="T11" s="4"/>
      <c r="U11" s="4"/>
      <c r="V11" s="4"/>
      <c r="W11" s="4"/>
      <c r="X11" s="4"/>
      <c r="Y11" s="4"/>
      <c r="Z11" s="4"/>
    </row>
    <row r="12" ht="15.75" customHeight="1">
      <c r="A12" s="3" t="s">
        <v>602</v>
      </c>
      <c r="B12" s="3" t="s">
        <v>603</v>
      </c>
      <c r="C12" s="2" t="s">
        <v>55</v>
      </c>
      <c r="D12" s="3" t="s">
        <v>57</v>
      </c>
      <c r="E12" s="3" t="s">
        <v>604</v>
      </c>
      <c r="F12" s="3" t="s">
        <v>605</v>
      </c>
      <c r="G12" s="3" t="s">
        <v>606</v>
      </c>
      <c r="H12" s="3" t="s">
        <v>6</v>
      </c>
      <c r="I12" s="4"/>
      <c r="J12" s="4"/>
      <c r="K12" s="4"/>
      <c r="L12" s="4"/>
      <c r="M12" s="4"/>
      <c r="N12" s="4"/>
      <c r="O12" s="4"/>
      <c r="P12" s="4"/>
      <c r="Q12" s="4"/>
      <c r="R12" s="4"/>
      <c r="S12" s="4"/>
      <c r="T12" s="4"/>
      <c r="U12" s="4"/>
      <c r="V12" s="4"/>
      <c r="W12" s="4"/>
      <c r="X12" s="4"/>
      <c r="Y12" s="4"/>
      <c r="Z12" s="4"/>
    </row>
    <row r="13" ht="15.75" customHeight="1">
      <c r="A13" s="3" t="s">
        <v>607</v>
      </c>
      <c r="B13" s="3" t="s">
        <v>608</v>
      </c>
      <c r="C13" s="2" t="s">
        <v>207</v>
      </c>
      <c r="D13" s="3" t="s">
        <v>208</v>
      </c>
      <c r="E13" s="3" t="s">
        <v>609</v>
      </c>
      <c r="F13" s="3" t="s">
        <v>610</v>
      </c>
      <c r="G13" s="3" t="s">
        <v>611</v>
      </c>
      <c r="H13" s="3" t="s">
        <v>6</v>
      </c>
      <c r="I13" s="4"/>
      <c r="J13" s="4"/>
      <c r="K13" s="4"/>
      <c r="L13" s="4"/>
      <c r="M13" s="4"/>
      <c r="N13" s="4"/>
      <c r="O13" s="4"/>
      <c r="P13" s="4"/>
      <c r="Q13" s="4"/>
      <c r="R13" s="4"/>
      <c r="S13" s="4"/>
      <c r="T13" s="4"/>
      <c r="U13" s="4"/>
      <c r="V13" s="4"/>
      <c r="W13" s="4"/>
      <c r="X13" s="4"/>
      <c r="Y13" s="4"/>
      <c r="Z13" s="4"/>
    </row>
    <row r="14" ht="15.75" customHeight="1">
      <c r="A14" s="3" t="s">
        <v>612</v>
      </c>
      <c r="B14" s="3" t="s">
        <v>613</v>
      </c>
      <c r="C14" s="2" t="s">
        <v>313</v>
      </c>
      <c r="D14" s="3" t="s">
        <v>315</v>
      </c>
      <c r="E14" s="3" t="s">
        <v>614</v>
      </c>
      <c r="F14" s="3" t="s">
        <v>614</v>
      </c>
      <c r="G14" s="3" t="s">
        <v>615</v>
      </c>
      <c r="H14" s="3" t="s">
        <v>6</v>
      </c>
      <c r="I14" s="4"/>
      <c r="J14" s="4"/>
      <c r="K14" s="4"/>
      <c r="L14" s="4"/>
      <c r="M14" s="4"/>
      <c r="N14" s="4"/>
      <c r="O14" s="4"/>
      <c r="P14" s="4"/>
      <c r="Q14" s="4"/>
      <c r="R14" s="4"/>
      <c r="S14" s="4"/>
      <c r="T14" s="4"/>
      <c r="U14" s="4"/>
      <c r="V14" s="4"/>
      <c r="W14" s="4"/>
      <c r="X14" s="4"/>
      <c r="Y14" s="4"/>
      <c r="Z14" s="4"/>
    </row>
    <row r="15" ht="15.75" customHeight="1">
      <c r="A15" s="3" t="s">
        <v>616</v>
      </c>
      <c r="B15" s="3" t="s">
        <v>617</v>
      </c>
      <c r="C15" s="2" t="s">
        <v>246</v>
      </c>
      <c r="D15" s="3" t="s">
        <v>247</v>
      </c>
      <c r="E15" s="3" t="s">
        <v>618</v>
      </c>
      <c r="F15" s="3" t="s">
        <v>618</v>
      </c>
      <c r="G15" s="3" t="s">
        <v>619</v>
      </c>
      <c r="H15" s="3" t="s">
        <v>6</v>
      </c>
      <c r="I15" s="4"/>
      <c r="J15" s="4"/>
      <c r="K15" s="4"/>
      <c r="L15" s="4"/>
      <c r="M15" s="4"/>
      <c r="N15" s="4"/>
      <c r="O15" s="4"/>
      <c r="P15" s="4"/>
      <c r="Q15" s="4"/>
      <c r="R15" s="4"/>
      <c r="S15" s="4"/>
      <c r="T15" s="4"/>
      <c r="U15" s="4"/>
      <c r="V15" s="4"/>
      <c r="W15" s="4"/>
      <c r="X15" s="4"/>
      <c r="Y15" s="4"/>
      <c r="Z15" s="4"/>
    </row>
    <row r="16" ht="15.75" customHeight="1">
      <c r="A16" s="3" t="s">
        <v>620</v>
      </c>
      <c r="B16" s="3" t="s">
        <v>621</v>
      </c>
      <c r="C16" s="2" t="s">
        <v>61</v>
      </c>
      <c r="D16" s="3" t="s">
        <v>63</v>
      </c>
      <c r="E16" s="3" t="s">
        <v>622</v>
      </c>
      <c r="F16" s="3" t="s">
        <v>623</v>
      </c>
      <c r="G16" s="3" t="s">
        <v>624</v>
      </c>
      <c r="H16" s="3" t="s">
        <v>6</v>
      </c>
      <c r="I16" s="4"/>
      <c r="J16" s="4"/>
      <c r="K16" s="4"/>
      <c r="L16" s="4"/>
      <c r="M16" s="4"/>
      <c r="N16" s="4"/>
      <c r="O16" s="4"/>
      <c r="P16" s="4"/>
      <c r="Q16" s="4"/>
      <c r="R16" s="4"/>
      <c r="S16" s="4"/>
      <c r="T16" s="4"/>
      <c r="U16" s="4"/>
      <c r="V16" s="4"/>
      <c r="W16" s="4"/>
      <c r="X16" s="4"/>
      <c r="Y16" s="4"/>
      <c r="Z16" s="4"/>
    </row>
    <row r="17" ht="15.75" customHeight="1">
      <c r="A17" s="3" t="s">
        <v>625</v>
      </c>
      <c r="B17" s="3" t="s">
        <v>626</v>
      </c>
      <c r="C17" s="2" t="s">
        <v>149</v>
      </c>
      <c r="D17" s="3" t="s">
        <v>150</v>
      </c>
      <c r="E17" s="3" t="s">
        <v>627</v>
      </c>
      <c r="F17" s="3" t="s">
        <v>628</v>
      </c>
      <c r="G17" s="3" t="s">
        <v>629</v>
      </c>
      <c r="H17" s="3" t="s">
        <v>6</v>
      </c>
      <c r="I17" s="4"/>
      <c r="J17" s="4"/>
      <c r="K17" s="4"/>
      <c r="L17" s="4"/>
      <c r="M17" s="4"/>
      <c r="N17" s="4"/>
      <c r="O17" s="4"/>
      <c r="P17" s="4"/>
      <c r="Q17" s="4"/>
      <c r="R17" s="4"/>
      <c r="S17" s="4"/>
      <c r="T17" s="4"/>
      <c r="U17" s="4"/>
      <c r="V17" s="4"/>
      <c r="W17" s="4"/>
      <c r="X17" s="4"/>
      <c r="Y17" s="4"/>
      <c r="Z17" s="4"/>
    </row>
    <row r="18" ht="15.75" customHeight="1">
      <c r="A18" s="3" t="s">
        <v>630</v>
      </c>
      <c r="B18" s="3" t="s">
        <v>631</v>
      </c>
      <c r="C18" s="2" t="s">
        <v>328</v>
      </c>
      <c r="D18" s="3" t="s">
        <v>329</v>
      </c>
      <c r="E18" s="3" t="s">
        <v>632</v>
      </c>
      <c r="F18" s="3" t="s">
        <v>633</v>
      </c>
      <c r="G18" s="3" t="s">
        <v>634</v>
      </c>
      <c r="H18" s="3" t="s">
        <v>6</v>
      </c>
      <c r="I18" s="4"/>
      <c r="J18" s="4"/>
      <c r="K18" s="4"/>
      <c r="L18" s="4"/>
      <c r="M18" s="4"/>
      <c r="N18" s="4"/>
      <c r="O18" s="4"/>
      <c r="P18" s="4"/>
      <c r="Q18" s="4"/>
      <c r="R18" s="4"/>
      <c r="S18" s="4"/>
      <c r="T18" s="4"/>
      <c r="U18" s="4"/>
      <c r="V18" s="4"/>
      <c r="W18" s="4"/>
      <c r="X18" s="4"/>
      <c r="Y18" s="4"/>
      <c r="Z18" s="4"/>
    </row>
    <row r="19" ht="15.75" customHeight="1">
      <c r="A19" s="3" t="s">
        <v>635</v>
      </c>
      <c r="B19" s="3" t="s">
        <v>636</v>
      </c>
      <c r="C19" s="2" t="s">
        <v>169</v>
      </c>
      <c r="D19" s="3" t="s">
        <v>171</v>
      </c>
      <c r="E19" s="3" t="s">
        <v>637</v>
      </c>
      <c r="F19" s="3" t="s">
        <v>638</v>
      </c>
      <c r="G19" s="3" t="s">
        <v>639</v>
      </c>
      <c r="H19" s="3" t="s">
        <v>6</v>
      </c>
      <c r="I19" s="4"/>
      <c r="J19" s="4"/>
      <c r="K19" s="4"/>
      <c r="L19" s="4"/>
      <c r="M19" s="4"/>
      <c r="N19" s="4"/>
      <c r="O19" s="4"/>
      <c r="P19" s="4"/>
      <c r="Q19" s="4"/>
      <c r="R19" s="4"/>
      <c r="S19" s="4"/>
      <c r="T19" s="4"/>
      <c r="U19" s="4"/>
      <c r="V19" s="4"/>
      <c r="W19" s="4"/>
      <c r="X19" s="4"/>
      <c r="Y19" s="4"/>
      <c r="Z19" s="4"/>
    </row>
    <row r="20" ht="15.75" customHeight="1">
      <c r="A20" s="3" t="s">
        <v>640</v>
      </c>
      <c r="B20" s="3" t="s">
        <v>641</v>
      </c>
      <c r="C20" s="2" t="s">
        <v>332</v>
      </c>
      <c r="D20" s="3" t="s">
        <v>333</v>
      </c>
      <c r="E20" s="3" t="s">
        <v>642</v>
      </c>
      <c r="F20" s="3" t="s">
        <v>643</v>
      </c>
      <c r="G20" s="3" t="s">
        <v>644</v>
      </c>
      <c r="H20" s="3" t="s">
        <v>6</v>
      </c>
      <c r="I20" s="4"/>
      <c r="J20" s="4"/>
      <c r="K20" s="4"/>
      <c r="L20" s="4"/>
      <c r="M20" s="4"/>
      <c r="N20" s="4"/>
      <c r="O20" s="4"/>
      <c r="P20" s="4"/>
      <c r="Q20" s="4"/>
      <c r="R20" s="4"/>
      <c r="S20" s="4"/>
      <c r="T20" s="4"/>
      <c r="U20" s="4"/>
      <c r="V20" s="4"/>
      <c r="W20" s="4"/>
      <c r="X20" s="4"/>
      <c r="Y20" s="4"/>
      <c r="Z20" s="4"/>
    </row>
    <row r="21" ht="15.75" customHeight="1">
      <c r="A21" s="3" t="s">
        <v>645</v>
      </c>
      <c r="B21" s="3" t="s">
        <v>646</v>
      </c>
      <c r="C21" s="2" t="s">
        <v>316</v>
      </c>
      <c r="D21" s="3" t="s">
        <v>318</v>
      </c>
      <c r="E21" s="3" t="s">
        <v>647</v>
      </c>
      <c r="F21" s="3" t="s">
        <v>648</v>
      </c>
      <c r="G21" s="3" t="s">
        <v>649</v>
      </c>
      <c r="H21" s="3" t="s">
        <v>6</v>
      </c>
      <c r="I21" s="4"/>
      <c r="J21" s="4"/>
      <c r="K21" s="4"/>
      <c r="L21" s="4"/>
      <c r="M21" s="4"/>
      <c r="N21" s="4"/>
      <c r="O21" s="4"/>
      <c r="P21" s="4"/>
      <c r="Q21" s="4"/>
      <c r="R21" s="4"/>
      <c r="S21" s="4"/>
      <c r="T21" s="4"/>
      <c r="U21" s="4"/>
      <c r="V21" s="4"/>
      <c r="W21" s="4"/>
      <c r="X21" s="4"/>
      <c r="Y21" s="4"/>
      <c r="Z21" s="4"/>
    </row>
    <row r="22" ht="15.75" customHeight="1">
      <c r="A22" s="3" t="s">
        <v>650</v>
      </c>
      <c r="B22" s="3" t="s">
        <v>651</v>
      </c>
      <c r="C22" s="2" t="s">
        <v>356</v>
      </c>
      <c r="D22" s="3" t="s">
        <v>357</v>
      </c>
      <c r="E22" s="3" t="s">
        <v>652</v>
      </c>
      <c r="F22" s="3" t="s">
        <v>653</v>
      </c>
      <c r="G22" s="3" t="s">
        <v>654</v>
      </c>
      <c r="H22" s="3" t="s">
        <v>6</v>
      </c>
      <c r="I22" s="4"/>
      <c r="J22" s="4"/>
      <c r="K22" s="4"/>
      <c r="L22" s="4"/>
      <c r="M22" s="4"/>
      <c r="N22" s="4"/>
      <c r="O22" s="4"/>
      <c r="P22" s="4"/>
      <c r="Q22" s="4"/>
      <c r="R22" s="4"/>
      <c r="S22" s="4"/>
      <c r="T22" s="4"/>
      <c r="U22" s="4"/>
      <c r="V22" s="4"/>
      <c r="W22" s="4"/>
      <c r="X22" s="4"/>
      <c r="Y22" s="4"/>
      <c r="Z22" s="4"/>
    </row>
    <row r="23" ht="15.75" customHeight="1">
      <c r="A23" s="3" t="s">
        <v>655</v>
      </c>
      <c r="B23" s="3" t="s">
        <v>656</v>
      </c>
      <c r="C23" s="2" t="s">
        <v>184</v>
      </c>
      <c r="D23" s="3" t="s">
        <v>185</v>
      </c>
      <c r="E23" s="3" t="s">
        <v>657</v>
      </c>
      <c r="F23" s="3" t="s">
        <v>658</v>
      </c>
      <c r="G23" s="3" t="s">
        <v>659</v>
      </c>
      <c r="H23" s="3" t="s">
        <v>6</v>
      </c>
      <c r="I23" s="4"/>
      <c r="J23" s="4"/>
      <c r="K23" s="4"/>
      <c r="L23" s="4"/>
      <c r="M23" s="4"/>
      <c r="N23" s="4"/>
      <c r="O23" s="4"/>
      <c r="P23" s="4"/>
      <c r="Q23" s="4"/>
      <c r="R23" s="4"/>
      <c r="S23" s="4"/>
      <c r="T23" s="4"/>
      <c r="U23" s="4"/>
      <c r="V23" s="4"/>
      <c r="W23" s="4"/>
      <c r="X23" s="4"/>
      <c r="Y23" s="4"/>
      <c r="Z23" s="4"/>
    </row>
    <row r="24" ht="15.75" customHeight="1">
      <c r="A24" s="3" t="s">
        <v>660</v>
      </c>
      <c r="B24" s="3" t="s">
        <v>661</v>
      </c>
      <c r="C24" s="2" t="s">
        <v>186</v>
      </c>
      <c r="D24" s="3" t="s">
        <v>187</v>
      </c>
      <c r="E24" s="3" t="s">
        <v>662</v>
      </c>
      <c r="F24" s="3" t="s">
        <v>663</v>
      </c>
      <c r="G24" s="3" t="s">
        <v>664</v>
      </c>
      <c r="H24" s="3" t="s">
        <v>6</v>
      </c>
      <c r="I24" s="4"/>
      <c r="J24" s="4"/>
      <c r="K24" s="4"/>
      <c r="L24" s="4"/>
      <c r="M24" s="4"/>
      <c r="N24" s="4"/>
      <c r="O24" s="4"/>
      <c r="P24" s="4"/>
      <c r="Q24" s="4"/>
      <c r="R24" s="4"/>
      <c r="S24" s="4"/>
      <c r="T24" s="4"/>
      <c r="U24" s="4"/>
      <c r="V24" s="4"/>
      <c r="W24" s="4"/>
      <c r="X24" s="4"/>
      <c r="Y24" s="4"/>
      <c r="Z24" s="4"/>
    </row>
    <row r="25" ht="15.75" customHeight="1">
      <c r="A25" s="3" t="s">
        <v>665</v>
      </c>
      <c r="B25" s="3" t="s">
        <v>666</v>
      </c>
      <c r="C25" s="2" t="s">
        <v>76</v>
      </c>
      <c r="D25" s="3" t="s">
        <v>77</v>
      </c>
      <c r="E25" s="3" t="s">
        <v>667</v>
      </c>
      <c r="F25" s="3" t="s">
        <v>668</v>
      </c>
      <c r="G25" s="3" t="s">
        <v>669</v>
      </c>
      <c r="H25" s="3" t="s">
        <v>6</v>
      </c>
      <c r="I25" s="4"/>
      <c r="J25" s="4"/>
      <c r="K25" s="4"/>
      <c r="L25" s="4"/>
      <c r="M25" s="4"/>
      <c r="N25" s="4"/>
      <c r="O25" s="4"/>
      <c r="P25" s="4"/>
      <c r="Q25" s="4"/>
      <c r="R25" s="4"/>
      <c r="S25" s="4"/>
      <c r="T25" s="4"/>
      <c r="U25" s="4"/>
      <c r="V25" s="4"/>
      <c r="W25" s="4"/>
      <c r="X25" s="4"/>
      <c r="Y25" s="4"/>
      <c r="Z25" s="4"/>
    </row>
    <row r="26" ht="15.75" customHeight="1">
      <c r="A26" s="3" t="s">
        <v>670</v>
      </c>
      <c r="B26" s="3" t="s">
        <v>671</v>
      </c>
      <c r="C26" s="2" t="s">
        <v>347</v>
      </c>
      <c r="D26" s="3" t="s">
        <v>349</v>
      </c>
      <c r="E26" s="3" t="s">
        <v>672</v>
      </c>
      <c r="F26" s="3" t="s">
        <v>673</v>
      </c>
      <c r="G26" s="3" t="s">
        <v>674</v>
      </c>
      <c r="H26" s="3" t="s">
        <v>6</v>
      </c>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s>
  <printOptions/>
  <pageMargins bottom="0.75" footer="0.0" header="0.0" left="0.7" right="0.7" top="0.75"/>
  <pageSetup orientation="landscape"/>
  <drawing r:id="rId2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7.63"/>
  </cols>
  <sheetData>
    <row r="1" ht="15.75" customHeight="1">
      <c r="A1" s="3" t="s">
        <v>382</v>
      </c>
      <c r="B1" s="3" t="s">
        <v>383</v>
      </c>
      <c r="C1" s="3" t="s">
        <v>369</v>
      </c>
      <c r="D1" s="3" t="s">
        <v>373</v>
      </c>
      <c r="E1" s="3" t="s">
        <v>374</v>
      </c>
      <c r="F1" s="3" t="s">
        <v>375</v>
      </c>
      <c r="G1" s="3" t="s">
        <v>376</v>
      </c>
      <c r="H1" s="3" t="s">
        <v>377</v>
      </c>
      <c r="I1" s="4"/>
      <c r="J1" s="4"/>
      <c r="K1" s="4"/>
      <c r="L1" s="4"/>
      <c r="M1" s="4"/>
      <c r="N1" s="4"/>
      <c r="O1" s="4"/>
      <c r="P1" s="4"/>
      <c r="Q1" s="4"/>
      <c r="R1" s="4"/>
      <c r="S1" s="4"/>
      <c r="T1" s="4"/>
      <c r="U1" s="4"/>
      <c r="V1" s="4"/>
      <c r="W1" s="4"/>
      <c r="X1" s="4"/>
      <c r="Y1" s="4"/>
      <c r="Z1" s="4"/>
    </row>
    <row r="2" ht="15.75" customHeight="1">
      <c r="A2" s="3" t="s">
        <v>675</v>
      </c>
      <c r="B2" s="3" t="s">
        <v>676</v>
      </c>
      <c r="C2" s="2" t="s">
        <v>215</v>
      </c>
      <c r="D2" s="3" t="s">
        <v>216</v>
      </c>
      <c r="E2" s="3" t="s">
        <v>677</v>
      </c>
      <c r="F2" s="3" t="s">
        <v>678</v>
      </c>
      <c r="G2" s="3" t="s">
        <v>679</v>
      </c>
      <c r="H2" s="3" t="s">
        <v>6</v>
      </c>
      <c r="I2" s="4"/>
      <c r="J2" s="4"/>
      <c r="K2" s="4"/>
      <c r="L2" s="4"/>
      <c r="M2" s="4"/>
      <c r="N2" s="4"/>
      <c r="O2" s="4"/>
      <c r="P2" s="4"/>
      <c r="Q2" s="4"/>
      <c r="R2" s="4"/>
      <c r="S2" s="4"/>
      <c r="T2" s="4"/>
      <c r="U2" s="4"/>
      <c r="V2" s="4"/>
      <c r="W2" s="4"/>
      <c r="X2" s="4"/>
      <c r="Y2" s="4"/>
      <c r="Z2" s="4"/>
    </row>
    <row r="3" ht="15.75" customHeight="1">
      <c r="A3" s="3" t="s">
        <v>680</v>
      </c>
      <c r="B3" s="3" t="s">
        <v>681</v>
      </c>
      <c r="C3" s="2" t="s">
        <v>219</v>
      </c>
      <c r="D3" s="3" t="s">
        <v>221</v>
      </c>
      <c r="E3" s="3" t="s">
        <v>682</v>
      </c>
      <c r="F3" s="3" t="s">
        <v>683</v>
      </c>
      <c r="G3" s="3" t="s">
        <v>684</v>
      </c>
      <c r="H3" s="3" t="s">
        <v>6</v>
      </c>
      <c r="I3" s="4"/>
      <c r="J3" s="4"/>
      <c r="K3" s="4"/>
      <c r="L3" s="4"/>
      <c r="M3" s="4"/>
      <c r="N3" s="4"/>
      <c r="O3" s="4"/>
      <c r="P3" s="4"/>
      <c r="Q3" s="4"/>
      <c r="R3" s="4"/>
      <c r="S3" s="4"/>
      <c r="T3" s="4"/>
      <c r="U3" s="4"/>
      <c r="V3" s="4"/>
      <c r="W3" s="4"/>
      <c r="X3" s="4"/>
      <c r="Y3" s="4"/>
      <c r="Z3" s="4"/>
    </row>
    <row r="4" ht="15.75" customHeight="1">
      <c r="A4" s="3" t="s">
        <v>685</v>
      </c>
      <c r="B4" s="3" t="s">
        <v>686</v>
      </c>
      <c r="C4" s="2" t="s">
        <v>82</v>
      </c>
      <c r="D4" s="3" t="s">
        <v>83</v>
      </c>
      <c r="E4" s="3" t="s">
        <v>687</v>
      </c>
      <c r="F4" s="3" t="s">
        <v>688</v>
      </c>
      <c r="G4" s="3" t="s">
        <v>689</v>
      </c>
      <c r="H4" s="3" t="s">
        <v>6</v>
      </c>
      <c r="I4" s="4"/>
      <c r="J4" s="4"/>
      <c r="K4" s="4"/>
      <c r="L4" s="4"/>
      <c r="M4" s="4"/>
      <c r="N4" s="4"/>
      <c r="O4" s="4"/>
      <c r="P4" s="4"/>
      <c r="Q4" s="4"/>
      <c r="R4" s="4"/>
      <c r="S4" s="4"/>
      <c r="T4" s="4"/>
      <c r="U4" s="4"/>
      <c r="V4" s="4"/>
      <c r="W4" s="4"/>
      <c r="X4" s="4"/>
      <c r="Y4" s="4"/>
      <c r="Z4" s="4"/>
    </row>
    <row r="5" ht="15.75" customHeight="1">
      <c r="A5" s="3" t="s">
        <v>690</v>
      </c>
      <c r="B5" s="3" t="s">
        <v>691</v>
      </c>
      <c r="C5" s="2" t="s">
        <v>98</v>
      </c>
      <c r="D5" s="3" t="s">
        <v>99</v>
      </c>
      <c r="E5" s="3" t="s">
        <v>692</v>
      </c>
      <c r="F5" s="3" t="s">
        <v>693</v>
      </c>
      <c r="G5" s="3" t="s">
        <v>694</v>
      </c>
      <c r="H5" s="3" t="s">
        <v>6</v>
      </c>
      <c r="I5" s="4"/>
      <c r="J5" s="4"/>
      <c r="K5" s="4"/>
      <c r="L5" s="4"/>
      <c r="M5" s="4"/>
      <c r="N5" s="4"/>
      <c r="O5" s="4"/>
      <c r="P5" s="4"/>
      <c r="Q5" s="4"/>
      <c r="R5" s="4"/>
      <c r="S5" s="4"/>
      <c r="T5" s="4"/>
      <c r="U5" s="4"/>
      <c r="V5" s="4"/>
      <c r="W5" s="4"/>
      <c r="X5" s="4"/>
      <c r="Y5" s="4"/>
      <c r="Z5" s="4"/>
    </row>
    <row r="6" ht="15.75" customHeight="1">
      <c r="A6" s="3" t="s">
        <v>695</v>
      </c>
      <c r="B6" s="3" t="s">
        <v>696</v>
      </c>
      <c r="C6" s="2" t="s">
        <v>350</v>
      </c>
      <c r="D6" s="3" t="s">
        <v>352</v>
      </c>
      <c r="E6" s="3" t="s">
        <v>697</v>
      </c>
      <c r="F6" s="3" t="s">
        <v>698</v>
      </c>
      <c r="G6" s="3" t="s">
        <v>699</v>
      </c>
      <c r="H6" s="3" t="s">
        <v>6</v>
      </c>
      <c r="I6" s="4"/>
      <c r="J6" s="4"/>
      <c r="K6" s="4"/>
      <c r="L6" s="4"/>
      <c r="M6" s="4"/>
      <c r="N6" s="4"/>
      <c r="O6" s="4"/>
      <c r="P6" s="4"/>
      <c r="Q6" s="4"/>
      <c r="R6" s="4"/>
      <c r="S6" s="4"/>
      <c r="T6" s="4"/>
      <c r="U6" s="4"/>
      <c r="V6" s="4"/>
      <c r="W6" s="4"/>
      <c r="X6" s="4"/>
      <c r="Y6" s="4"/>
      <c r="Z6" s="4"/>
    </row>
    <row r="7" ht="15.75" customHeight="1">
      <c r="A7" s="3" t="s">
        <v>700</v>
      </c>
      <c r="B7" s="3" t="s">
        <v>701</v>
      </c>
      <c r="C7" s="2" t="s">
        <v>309</v>
      </c>
      <c r="D7" s="3" t="s">
        <v>310</v>
      </c>
      <c r="E7" s="3" t="s">
        <v>702</v>
      </c>
      <c r="F7" s="3" t="s">
        <v>702</v>
      </c>
      <c r="G7" s="3" t="s">
        <v>703</v>
      </c>
      <c r="H7" s="3" t="s">
        <v>6</v>
      </c>
      <c r="I7" s="4"/>
      <c r="J7" s="4"/>
      <c r="K7" s="4"/>
      <c r="L7" s="4"/>
      <c r="M7" s="4"/>
      <c r="N7" s="4"/>
      <c r="O7" s="4"/>
      <c r="P7" s="4"/>
      <c r="Q7" s="4"/>
      <c r="R7" s="4"/>
      <c r="S7" s="4"/>
      <c r="T7" s="4"/>
      <c r="U7" s="4"/>
      <c r="V7" s="4"/>
      <c r="W7" s="4"/>
      <c r="X7" s="4"/>
      <c r="Y7" s="4"/>
      <c r="Z7" s="4"/>
    </row>
    <row r="8" ht="15.75" customHeight="1">
      <c r="A8" s="3" t="s">
        <v>704</v>
      </c>
      <c r="B8" s="3" t="s">
        <v>705</v>
      </c>
      <c r="C8" s="2" t="s">
        <v>167</v>
      </c>
      <c r="D8" s="3" t="s">
        <v>168</v>
      </c>
      <c r="E8" s="3" t="s">
        <v>706</v>
      </c>
      <c r="F8" s="3" t="s">
        <v>706</v>
      </c>
      <c r="G8" s="3" t="s">
        <v>707</v>
      </c>
      <c r="H8" s="3" t="s">
        <v>6</v>
      </c>
      <c r="I8" s="4"/>
      <c r="J8" s="4"/>
      <c r="K8" s="4"/>
      <c r="L8" s="4"/>
      <c r="M8" s="4"/>
      <c r="N8" s="4"/>
      <c r="O8" s="4"/>
      <c r="P8" s="4"/>
      <c r="Q8" s="4"/>
      <c r="R8" s="4"/>
      <c r="S8" s="4"/>
      <c r="T8" s="4"/>
      <c r="U8" s="4"/>
      <c r="V8" s="4"/>
      <c r="W8" s="4"/>
      <c r="X8" s="4"/>
      <c r="Y8" s="4"/>
      <c r="Z8" s="4"/>
    </row>
    <row r="9" ht="15.75" customHeight="1">
      <c r="A9" s="3" t="s">
        <v>708</v>
      </c>
      <c r="B9" s="3" t="s">
        <v>709</v>
      </c>
      <c r="C9" s="2" t="s">
        <v>36</v>
      </c>
      <c r="D9" s="3" t="s">
        <v>37</v>
      </c>
      <c r="E9" s="3" t="s">
        <v>710</v>
      </c>
      <c r="F9" s="3" t="s">
        <v>711</v>
      </c>
      <c r="G9" s="3" t="s">
        <v>712</v>
      </c>
      <c r="H9" s="3" t="s">
        <v>6</v>
      </c>
      <c r="I9" s="4"/>
      <c r="J9" s="4"/>
      <c r="K9" s="4"/>
      <c r="L9" s="4"/>
      <c r="M9" s="4"/>
      <c r="N9" s="4"/>
      <c r="O9" s="4"/>
      <c r="P9" s="4"/>
      <c r="Q9" s="4"/>
      <c r="R9" s="4"/>
      <c r="S9" s="4"/>
      <c r="T9" s="4"/>
      <c r="U9" s="4"/>
      <c r="V9" s="4"/>
      <c r="W9" s="4"/>
      <c r="X9" s="4"/>
      <c r="Y9" s="4"/>
      <c r="Z9" s="4"/>
    </row>
    <row r="10" ht="15.75" customHeight="1">
      <c r="A10" s="3" t="s">
        <v>713</v>
      </c>
      <c r="B10" s="3" t="s">
        <v>714</v>
      </c>
      <c r="C10" s="2" t="s">
        <v>151</v>
      </c>
      <c r="D10" s="3" t="s">
        <v>152</v>
      </c>
      <c r="E10" s="3" t="s">
        <v>715</v>
      </c>
      <c r="F10" s="3" t="s">
        <v>716</v>
      </c>
      <c r="G10" s="3" t="s">
        <v>717</v>
      </c>
      <c r="H10" s="3" t="s">
        <v>6</v>
      </c>
      <c r="I10" s="4"/>
      <c r="J10" s="4"/>
      <c r="K10" s="4"/>
      <c r="L10" s="4"/>
      <c r="M10" s="4"/>
      <c r="N10" s="4"/>
      <c r="O10" s="4"/>
      <c r="P10" s="4"/>
      <c r="Q10" s="4"/>
      <c r="R10" s="4"/>
      <c r="S10" s="4"/>
      <c r="T10" s="4"/>
      <c r="U10" s="4"/>
      <c r="V10" s="4"/>
      <c r="W10" s="4"/>
      <c r="X10" s="4"/>
      <c r="Y10" s="4"/>
      <c r="Z10" s="4"/>
    </row>
    <row r="11" ht="15.75" customHeight="1">
      <c r="A11" s="3" t="s">
        <v>718</v>
      </c>
      <c r="B11" s="3" t="s">
        <v>719</v>
      </c>
      <c r="C11" s="2" t="s">
        <v>191</v>
      </c>
      <c r="D11" s="3" t="s">
        <v>192</v>
      </c>
      <c r="E11" s="3" t="s">
        <v>720</v>
      </c>
      <c r="F11" s="3" t="s">
        <v>721</v>
      </c>
      <c r="G11" s="3" t="s">
        <v>722</v>
      </c>
      <c r="H11" s="3" t="s">
        <v>6</v>
      </c>
      <c r="I11" s="4"/>
      <c r="J11" s="4"/>
      <c r="K11" s="4"/>
      <c r="L11" s="4"/>
      <c r="M11" s="4"/>
      <c r="N11" s="4"/>
      <c r="O11" s="4"/>
      <c r="P11" s="4"/>
      <c r="Q11" s="4"/>
      <c r="R11" s="4"/>
      <c r="S11" s="4"/>
      <c r="T11" s="4"/>
      <c r="U11" s="4"/>
      <c r="V11" s="4"/>
      <c r="W11" s="4"/>
      <c r="X11" s="4"/>
      <c r="Y11" s="4"/>
      <c r="Z11" s="4"/>
    </row>
    <row r="12" ht="15.75" customHeight="1">
      <c r="A12" s="3" t="s">
        <v>723</v>
      </c>
      <c r="B12" s="3" t="s">
        <v>724</v>
      </c>
      <c r="C12" s="2" t="s">
        <v>217</v>
      </c>
      <c r="D12" s="3" t="s">
        <v>218</v>
      </c>
      <c r="E12" s="3" t="s">
        <v>725</v>
      </c>
      <c r="F12" s="3" t="s">
        <v>726</v>
      </c>
      <c r="G12" s="3" t="s">
        <v>727</v>
      </c>
      <c r="H12" s="3" t="s">
        <v>6</v>
      </c>
      <c r="I12" s="4"/>
      <c r="J12" s="4"/>
      <c r="K12" s="4"/>
      <c r="L12" s="4"/>
      <c r="M12" s="4"/>
      <c r="N12" s="4"/>
      <c r="O12" s="4"/>
      <c r="P12" s="4"/>
      <c r="Q12" s="4"/>
      <c r="R12" s="4"/>
      <c r="S12" s="4"/>
      <c r="T12" s="4"/>
      <c r="U12" s="4"/>
      <c r="V12" s="4"/>
      <c r="W12" s="4"/>
      <c r="X12" s="4"/>
      <c r="Y12" s="4"/>
      <c r="Z12" s="4"/>
    </row>
    <row r="13" ht="15.75" customHeight="1">
      <c r="A13" s="3" t="s">
        <v>728</v>
      </c>
      <c r="B13" s="3" t="s">
        <v>729</v>
      </c>
      <c r="C13" s="2" t="s">
        <v>305</v>
      </c>
      <c r="D13" s="3" t="s">
        <v>306</v>
      </c>
      <c r="E13" s="3" t="s">
        <v>730</v>
      </c>
      <c r="F13" s="3" t="s">
        <v>731</v>
      </c>
      <c r="G13" s="3" t="s">
        <v>732</v>
      </c>
      <c r="H13" s="3" t="s">
        <v>6</v>
      </c>
      <c r="I13" s="4"/>
      <c r="J13" s="4"/>
      <c r="K13" s="4"/>
      <c r="L13" s="4"/>
      <c r="M13" s="4"/>
      <c r="N13" s="4"/>
      <c r="O13" s="4"/>
      <c r="P13" s="4"/>
      <c r="Q13" s="4"/>
      <c r="R13" s="4"/>
      <c r="S13" s="4"/>
      <c r="T13" s="4"/>
      <c r="U13" s="4"/>
      <c r="V13" s="4"/>
      <c r="W13" s="4"/>
      <c r="X13" s="4"/>
      <c r="Y13" s="4"/>
      <c r="Z13" s="4"/>
    </row>
    <row r="14" ht="15.75" customHeight="1">
      <c r="A14" s="3" t="s">
        <v>733</v>
      </c>
      <c r="B14" s="3" t="s">
        <v>734</v>
      </c>
      <c r="C14" s="2" t="s">
        <v>20</v>
      </c>
      <c r="D14" s="3" t="s">
        <v>21</v>
      </c>
      <c r="E14" s="3" t="s">
        <v>735</v>
      </c>
      <c r="F14" s="3" t="s">
        <v>735</v>
      </c>
      <c r="G14" s="3" t="s">
        <v>736</v>
      </c>
      <c r="H14" s="3" t="s">
        <v>6</v>
      </c>
      <c r="I14" s="4"/>
      <c r="J14" s="4"/>
      <c r="K14" s="4"/>
      <c r="L14" s="4"/>
      <c r="M14" s="4"/>
      <c r="N14" s="4"/>
      <c r="O14" s="4"/>
      <c r="P14" s="4"/>
      <c r="Q14" s="4"/>
      <c r="R14" s="4"/>
      <c r="S14" s="4"/>
      <c r="T14" s="4"/>
      <c r="U14" s="4"/>
      <c r="V14" s="4"/>
      <c r="W14" s="4"/>
      <c r="X14" s="4"/>
      <c r="Y14" s="4"/>
      <c r="Z14" s="4"/>
    </row>
    <row r="15" ht="15.75" customHeight="1">
      <c r="A15" s="3" t="s">
        <v>737</v>
      </c>
      <c r="B15" s="3" t="s">
        <v>738</v>
      </c>
      <c r="C15" s="2" t="s">
        <v>46</v>
      </c>
      <c r="D15" s="3" t="s">
        <v>47</v>
      </c>
      <c r="E15" s="3" t="s">
        <v>739</v>
      </c>
      <c r="F15" s="3" t="s">
        <v>739</v>
      </c>
      <c r="G15" s="3" t="s">
        <v>740</v>
      </c>
      <c r="H15" s="3" t="s">
        <v>6</v>
      </c>
      <c r="I15" s="4"/>
      <c r="J15" s="4"/>
      <c r="K15" s="4"/>
      <c r="L15" s="4"/>
      <c r="M15" s="4"/>
      <c r="N15" s="4"/>
      <c r="O15" s="4"/>
      <c r="P15" s="4"/>
      <c r="Q15" s="4"/>
      <c r="R15" s="4"/>
      <c r="S15" s="4"/>
      <c r="T15" s="4"/>
      <c r="U15" s="4"/>
      <c r="V15" s="4"/>
      <c r="W15" s="4"/>
      <c r="X15" s="4"/>
      <c r="Y15" s="4"/>
      <c r="Z15" s="4"/>
    </row>
    <row r="16" ht="15.75" customHeight="1">
      <c r="A16" s="3" t="s">
        <v>741</v>
      </c>
      <c r="B16" s="3" t="s">
        <v>742</v>
      </c>
      <c r="C16" s="2" t="s">
        <v>23</v>
      </c>
      <c r="D16" s="3" t="s">
        <v>25</v>
      </c>
      <c r="E16" s="3" t="s">
        <v>743</v>
      </c>
      <c r="F16" s="3" t="s">
        <v>744</v>
      </c>
      <c r="G16" s="3" t="s">
        <v>745</v>
      </c>
      <c r="H16" s="3" t="s">
        <v>6</v>
      </c>
      <c r="I16" s="4"/>
      <c r="J16" s="4"/>
      <c r="K16" s="4"/>
      <c r="L16" s="4"/>
      <c r="M16" s="4"/>
      <c r="N16" s="4"/>
      <c r="O16" s="4"/>
      <c r="P16" s="4"/>
      <c r="Q16" s="4"/>
      <c r="R16" s="4"/>
      <c r="S16" s="4"/>
      <c r="T16" s="4"/>
      <c r="U16" s="4"/>
      <c r="V16" s="4"/>
      <c r="W16" s="4"/>
      <c r="X16" s="4"/>
      <c r="Y16" s="4"/>
      <c r="Z16" s="4"/>
    </row>
    <row r="17" ht="15.75" customHeight="1">
      <c r="A17" s="3" t="s">
        <v>746</v>
      </c>
      <c r="B17" s="3" t="s">
        <v>747</v>
      </c>
      <c r="C17" s="2" t="s">
        <v>321</v>
      </c>
      <c r="D17" s="3" t="s">
        <v>322</v>
      </c>
      <c r="E17" s="3" t="s">
        <v>748</v>
      </c>
      <c r="F17" s="3" t="s">
        <v>749</v>
      </c>
      <c r="G17" s="3" t="s">
        <v>750</v>
      </c>
      <c r="H17" s="3" t="s">
        <v>6</v>
      </c>
      <c r="I17" s="4"/>
      <c r="J17" s="4"/>
      <c r="K17" s="4"/>
      <c r="L17" s="4"/>
      <c r="M17" s="4"/>
      <c r="N17" s="4"/>
      <c r="O17" s="4"/>
      <c r="P17" s="4"/>
      <c r="Q17" s="4"/>
      <c r="R17" s="4"/>
      <c r="S17" s="4"/>
      <c r="T17" s="4"/>
      <c r="U17" s="4"/>
      <c r="V17" s="4"/>
      <c r="W17" s="4"/>
      <c r="X17" s="4"/>
      <c r="Y17" s="4"/>
      <c r="Z17" s="4"/>
    </row>
    <row r="18" ht="15.75" customHeight="1">
      <c r="A18" s="3" t="s">
        <v>751</v>
      </c>
      <c r="B18" s="3" t="s">
        <v>752</v>
      </c>
      <c r="C18" s="2" t="s">
        <v>307</v>
      </c>
      <c r="D18" s="3" t="s">
        <v>308</v>
      </c>
      <c r="E18" s="3" t="s">
        <v>753</v>
      </c>
      <c r="F18" s="3" t="s">
        <v>754</v>
      </c>
      <c r="G18" s="3" t="s">
        <v>755</v>
      </c>
      <c r="H18" s="3" t="s">
        <v>6</v>
      </c>
      <c r="I18" s="4"/>
      <c r="J18" s="4"/>
      <c r="K18" s="4"/>
      <c r="L18" s="4"/>
      <c r="M18" s="4"/>
      <c r="N18" s="4"/>
      <c r="O18" s="4"/>
      <c r="P18" s="4"/>
      <c r="Q18" s="4"/>
      <c r="R18" s="4"/>
      <c r="S18" s="4"/>
      <c r="T18" s="4"/>
      <c r="U18" s="4"/>
      <c r="V18" s="4"/>
      <c r="W18" s="4"/>
      <c r="X18" s="4"/>
      <c r="Y18" s="4"/>
      <c r="Z18" s="4"/>
    </row>
    <row r="19" ht="15.75" customHeight="1">
      <c r="A19" s="3" t="s">
        <v>756</v>
      </c>
      <c r="B19" s="3" t="s">
        <v>757</v>
      </c>
      <c r="C19" s="2" t="s">
        <v>44</v>
      </c>
      <c r="D19" s="3" t="s">
        <v>45</v>
      </c>
      <c r="E19" s="3" t="s">
        <v>758</v>
      </c>
      <c r="F19" s="3" t="s">
        <v>759</v>
      </c>
      <c r="G19" s="3" t="s">
        <v>760</v>
      </c>
      <c r="H19" s="3" t="s">
        <v>6</v>
      </c>
      <c r="I19" s="4"/>
      <c r="J19" s="4"/>
      <c r="K19" s="4"/>
      <c r="L19" s="4"/>
      <c r="M19" s="4"/>
      <c r="N19" s="4"/>
      <c r="O19" s="4"/>
      <c r="P19" s="4"/>
      <c r="Q19" s="4"/>
      <c r="R19" s="4"/>
      <c r="S19" s="4"/>
      <c r="T19" s="4"/>
      <c r="U19" s="4"/>
      <c r="V19" s="4"/>
      <c r="W19" s="4"/>
      <c r="X19" s="4"/>
      <c r="Y19" s="4"/>
      <c r="Z19" s="4"/>
    </row>
    <row r="20" ht="15.75" customHeight="1">
      <c r="A20" s="3" t="s">
        <v>761</v>
      </c>
      <c r="B20" s="3" t="s">
        <v>762</v>
      </c>
      <c r="C20" s="2" t="s">
        <v>48</v>
      </c>
      <c r="D20" s="3" t="s">
        <v>49</v>
      </c>
      <c r="E20" s="3" t="s">
        <v>763</v>
      </c>
      <c r="F20" s="3" t="s">
        <v>763</v>
      </c>
      <c r="G20" s="3" t="s">
        <v>764</v>
      </c>
      <c r="H20" s="3" t="s">
        <v>6</v>
      </c>
      <c r="I20" s="4"/>
      <c r="J20" s="4"/>
      <c r="K20" s="4"/>
      <c r="L20" s="4"/>
      <c r="M20" s="4"/>
      <c r="N20" s="4"/>
      <c r="O20" s="4"/>
      <c r="P20" s="4"/>
      <c r="Q20" s="4"/>
      <c r="R20" s="4"/>
      <c r="S20" s="4"/>
      <c r="T20" s="4"/>
      <c r="U20" s="4"/>
      <c r="V20" s="4"/>
      <c r="W20" s="4"/>
      <c r="X20" s="4"/>
      <c r="Y20" s="4"/>
      <c r="Z20" s="4"/>
    </row>
    <row r="21" ht="15.75" customHeight="1">
      <c r="A21" s="3" t="s">
        <v>765</v>
      </c>
      <c r="B21" s="3" t="s">
        <v>766</v>
      </c>
      <c r="C21" s="2" t="s">
        <v>64</v>
      </c>
      <c r="D21" s="3" t="s">
        <v>65</v>
      </c>
      <c r="E21" s="3" t="s">
        <v>767</v>
      </c>
      <c r="F21" s="3" t="s">
        <v>768</v>
      </c>
      <c r="G21" s="3" t="s">
        <v>769</v>
      </c>
      <c r="H21" s="3" t="s">
        <v>6</v>
      </c>
      <c r="I21" s="4"/>
      <c r="J21" s="4"/>
      <c r="K21" s="4"/>
      <c r="L21" s="4"/>
      <c r="M21" s="4"/>
      <c r="N21" s="4"/>
      <c r="O21" s="4"/>
      <c r="P21" s="4"/>
      <c r="Q21" s="4"/>
      <c r="R21" s="4"/>
      <c r="S21" s="4"/>
      <c r="T21" s="4"/>
      <c r="U21" s="4"/>
      <c r="V21" s="4"/>
      <c r="W21" s="4"/>
      <c r="X21" s="4"/>
      <c r="Y21" s="4"/>
      <c r="Z21" s="4"/>
    </row>
    <row r="22" ht="15.75" customHeight="1">
      <c r="A22" s="3" t="s">
        <v>770</v>
      </c>
      <c r="B22" s="3" t="s">
        <v>771</v>
      </c>
      <c r="C22" s="2" t="s">
        <v>199</v>
      </c>
      <c r="D22" s="3" t="s">
        <v>200</v>
      </c>
      <c r="E22" s="3" t="s">
        <v>772</v>
      </c>
      <c r="F22" s="3" t="s">
        <v>773</v>
      </c>
      <c r="G22" s="3" t="s">
        <v>774</v>
      </c>
      <c r="H22" s="3" t="s">
        <v>6</v>
      </c>
      <c r="I22" s="4"/>
      <c r="J22" s="4"/>
      <c r="K22" s="4"/>
      <c r="L22" s="4"/>
      <c r="M22" s="4"/>
      <c r="N22" s="4"/>
      <c r="O22" s="4"/>
      <c r="P22" s="4"/>
      <c r="Q22" s="4"/>
      <c r="R22" s="4"/>
      <c r="S22" s="4"/>
      <c r="T22" s="4"/>
      <c r="U22" s="4"/>
      <c r="V22" s="4"/>
      <c r="W22" s="4"/>
      <c r="X22" s="4"/>
      <c r="Y22" s="4"/>
      <c r="Z22" s="4"/>
    </row>
    <row r="23" ht="15.75" customHeight="1">
      <c r="A23" s="3" t="s">
        <v>775</v>
      </c>
      <c r="B23" s="3" t="s">
        <v>776</v>
      </c>
      <c r="C23" s="2" t="s">
        <v>100</v>
      </c>
      <c r="D23" s="3" t="s">
        <v>101</v>
      </c>
      <c r="E23" s="3" t="s">
        <v>777</v>
      </c>
      <c r="F23" s="3" t="s">
        <v>777</v>
      </c>
      <c r="G23" s="3" t="s">
        <v>778</v>
      </c>
      <c r="H23" s="3" t="s">
        <v>6</v>
      </c>
      <c r="I23" s="4"/>
      <c r="J23" s="4"/>
      <c r="K23" s="4"/>
      <c r="L23" s="4"/>
      <c r="M23" s="4"/>
      <c r="N23" s="4"/>
      <c r="O23" s="4"/>
      <c r="P23" s="4"/>
      <c r="Q23" s="4"/>
      <c r="R23" s="4"/>
      <c r="S23" s="4"/>
      <c r="T23" s="4"/>
      <c r="U23" s="4"/>
      <c r="V23" s="4"/>
      <c r="W23" s="4"/>
      <c r="X23" s="4"/>
      <c r="Y23" s="4"/>
      <c r="Z23" s="4"/>
    </row>
    <row r="24" ht="15.75" customHeight="1">
      <c r="A24" s="3" t="s">
        <v>779</v>
      </c>
      <c r="B24" s="3" t="s">
        <v>780</v>
      </c>
      <c r="C24" s="2" t="s">
        <v>58</v>
      </c>
      <c r="D24" s="3" t="s">
        <v>60</v>
      </c>
      <c r="E24" s="3" t="s">
        <v>781</v>
      </c>
      <c r="F24" s="3" t="s">
        <v>782</v>
      </c>
      <c r="G24" s="3" t="s">
        <v>783</v>
      </c>
      <c r="H24" s="3" t="s">
        <v>6</v>
      </c>
      <c r="I24" s="4"/>
      <c r="J24" s="4"/>
      <c r="K24" s="4"/>
      <c r="L24" s="4"/>
      <c r="M24" s="4"/>
      <c r="N24" s="4"/>
      <c r="O24" s="4"/>
      <c r="P24" s="4"/>
      <c r="Q24" s="4"/>
      <c r="R24" s="4"/>
      <c r="S24" s="4"/>
      <c r="T24" s="4"/>
      <c r="U24" s="4"/>
      <c r="V24" s="4"/>
      <c r="W24" s="4"/>
      <c r="X24" s="4"/>
      <c r="Y24" s="4"/>
      <c r="Z24" s="4"/>
    </row>
    <row r="25" ht="15.75" customHeight="1">
      <c r="A25" s="3" t="s">
        <v>784</v>
      </c>
      <c r="B25" s="3" t="s">
        <v>785</v>
      </c>
      <c r="C25" s="2" t="s">
        <v>330</v>
      </c>
      <c r="D25" s="3" t="s">
        <v>331</v>
      </c>
      <c r="E25" s="3" t="s">
        <v>786</v>
      </c>
      <c r="F25" s="3" t="s">
        <v>787</v>
      </c>
      <c r="G25" s="3" t="s">
        <v>788</v>
      </c>
      <c r="H25" s="3" t="s">
        <v>6</v>
      </c>
      <c r="I25" s="4"/>
      <c r="J25" s="4"/>
      <c r="K25" s="4"/>
      <c r="L25" s="4"/>
      <c r="M25" s="4"/>
      <c r="N25" s="4"/>
      <c r="O25" s="4"/>
      <c r="P25" s="4"/>
      <c r="Q25" s="4"/>
      <c r="R25" s="4"/>
      <c r="S25" s="4"/>
      <c r="T25" s="4"/>
      <c r="U25" s="4"/>
      <c r="V25" s="4"/>
      <c r="W25" s="4"/>
      <c r="X25" s="4"/>
      <c r="Y25" s="4"/>
      <c r="Z25" s="4"/>
    </row>
    <row r="26" ht="15.75" customHeight="1">
      <c r="A26" s="3" t="s">
        <v>789</v>
      </c>
      <c r="B26" s="3" t="s">
        <v>790</v>
      </c>
      <c r="C26" s="2" t="s">
        <v>234</v>
      </c>
      <c r="D26" s="3" t="s">
        <v>235</v>
      </c>
      <c r="E26" s="3" t="s">
        <v>791</v>
      </c>
      <c r="F26" s="3" t="s">
        <v>792</v>
      </c>
      <c r="G26" s="3" t="s">
        <v>793</v>
      </c>
      <c r="H26" s="3" t="s">
        <v>6</v>
      </c>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s>
  <printOptions/>
  <pageMargins bottom="0.75" footer="0.0" header="0.0" left="0.7" right="0.7" top="0.75"/>
  <pageSetup orientation="landscape"/>
  <drawing r:id="rId2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7.63"/>
  </cols>
  <sheetData>
    <row r="1" ht="15.75" customHeight="1">
      <c r="A1" s="3" t="s">
        <v>382</v>
      </c>
      <c r="B1" s="3" t="s">
        <v>383</v>
      </c>
      <c r="C1" s="3" t="s">
        <v>369</v>
      </c>
      <c r="D1" s="3" t="s">
        <v>373</v>
      </c>
      <c r="E1" s="3" t="s">
        <v>374</v>
      </c>
      <c r="F1" s="3" t="s">
        <v>375</v>
      </c>
      <c r="G1" s="3" t="s">
        <v>376</v>
      </c>
      <c r="H1" s="3" t="s">
        <v>377</v>
      </c>
      <c r="I1" s="4"/>
      <c r="J1" s="4"/>
      <c r="K1" s="4"/>
      <c r="L1" s="4"/>
      <c r="M1" s="4"/>
      <c r="N1" s="4"/>
      <c r="O1" s="4"/>
      <c r="P1" s="4"/>
      <c r="Q1" s="4"/>
      <c r="R1" s="4"/>
      <c r="S1" s="4"/>
      <c r="T1" s="4"/>
      <c r="U1" s="4"/>
      <c r="V1" s="4"/>
      <c r="W1" s="4"/>
      <c r="X1" s="4"/>
      <c r="Y1" s="4"/>
      <c r="Z1" s="4"/>
    </row>
    <row r="2" ht="15.75" customHeight="1">
      <c r="A2" s="3" t="s">
        <v>794</v>
      </c>
      <c r="B2" s="3" t="s">
        <v>795</v>
      </c>
      <c r="C2" s="2" t="s">
        <v>209</v>
      </c>
      <c r="D2" s="3" t="s">
        <v>210</v>
      </c>
      <c r="E2" s="3" t="s">
        <v>796</v>
      </c>
      <c r="F2" s="3" t="s">
        <v>797</v>
      </c>
      <c r="G2" s="3" t="s">
        <v>798</v>
      </c>
      <c r="H2" s="3" t="s">
        <v>6</v>
      </c>
      <c r="I2" s="4"/>
      <c r="J2" s="4"/>
      <c r="K2" s="4"/>
      <c r="L2" s="4"/>
      <c r="M2" s="4"/>
      <c r="N2" s="4"/>
      <c r="O2" s="4"/>
      <c r="P2" s="4"/>
      <c r="Q2" s="4"/>
      <c r="R2" s="4"/>
      <c r="S2" s="4"/>
      <c r="T2" s="4"/>
      <c r="U2" s="4"/>
      <c r="V2" s="4"/>
      <c r="W2" s="4"/>
      <c r="X2" s="4"/>
      <c r="Y2" s="4"/>
      <c r="Z2" s="4"/>
    </row>
    <row r="3" ht="15.75" customHeight="1">
      <c r="A3" s="3" t="s">
        <v>799</v>
      </c>
      <c r="B3" s="3" t="s">
        <v>800</v>
      </c>
      <c r="C3" s="2" t="s">
        <v>115</v>
      </c>
      <c r="D3" s="3" t="s">
        <v>116</v>
      </c>
      <c r="E3" s="3" t="s">
        <v>801</v>
      </c>
      <c r="F3" s="3" t="s">
        <v>802</v>
      </c>
      <c r="G3" s="3" t="s">
        <v>803</v>
      </c>
      <c r="H3" s="3" t="s">
        <v>6</v>
      </c>
      <c r="I3" s="4"/>
      <c r="J3" s="4"/>
      <c r="K3" s="4"/>
      <c r="L3" s="4"/>
      <c r="M3" s="4"/>
      <c r="N3" s="4"/>
      <c r="O3" s="4"/>
      <c r="P3" s="4"/>
      <c r="Q3" s="4"/>
      <c r="R3" s="4"/>
      <c r="S3" s="4"/>
      <c r="T3" s="4"/>
      <c r="U3" s="4"/>
      <c r="V3" s="4"/>
      <c r="W3" s="4"/>
      <c r="X3" s="4"/>
      <c r="Y3" s="4"/>
      <c r="Z3" s="4"/>
    </row>
    <row r="4" ht="15.75" customHeight="1">
      <c r="A4" s="3" t="s">
        <v>804</v>
      </c>
      <c r="B4" s="3" t="s">
        <v>805</v>
      </c>
      <c r="C4" s="2" t="s">
        <v>66</v>
      </c>
      <c r="D4" s="3" t="s">
        <v>67</v>
      </c>
      <c r="E4" s="3" t="s">
        <v>806</v>
      </c>
      <c r="F4" s="3" t="s">
        <v>806</v>
      </c>
      <c r="G4" s="3" t="s">
        <v>807</v>
      </c>
      <c r="H4" s="3" t="s">
        <v>6</v>
      </c>
      <c r="I4" s="4"/>
      <c r="J4" s="4"/>
      <c r="K4" s="4"/>
      <c r="L4" s="4"/>
      <c r="M4" s="4"/>
      <c r="N4" s="4"/>
      <c r="O4" s="4"/>
      <c r="P4" s="4"/>
      <c r="Q4" s="4"/>
      <c r="R4" s="4"/>
      <c r="S4" s="4"/>
      <c r="T4" s="4"/>
      <c r="U4" s="4"/>
      <c r="V4" s="4"/>
      <c r="W4" s="4"/>
      <c r="X4" s="4"/>
      <c r="Y4" s="4"/>
      <c r="Z4" s="4"/>
    </row>
    <row r="5" ht="15.75" customHeight="1">
      <c r="A5" s="3" t="s">
        <v>808</v>
      </c>
      <c r="B5" s="3" t="s">
        <v>809</v>
      </c>
      <c r="C5" s="2" t="s">
        <v>323</v>
      </c>
      <c r="D5" s="3" t="s">
        <v>325</v>
      </c>
      <c r="E5" s="3" t="s">
        <v>810</v>
      </c>
      <c r="F5" s="3" t="s">
        <v>811</v>
      </c>
      <c r="G5" s="3" t="s">
        <v>812</v>
      </c>
      <c r="H5" s="3" t="s">
        <v>6</v>
      </c>
      <c r="I5" s="4"/>
      <c r="J5" s="4"/>
      <c r="K5" s="4"/>
      <c r="L5" s="4"/>
      <c r="M5" s="4"/>
      <c r="N5" s="4"/>
      <c r="O5" s="4"/>
      <c r="P5" s="4"/>
      <c r="Q5" s="4"/>
      <c r="R5" s="4"/>
      <c r="S5" s="4"/>
      <c r="T5" s="4"/>
      <c r="U5" s="4"/>
      <c r="V5" s="4"/>
      <c r="W5" s="4"/>
      <c r="X5" s="4"/>
      <c r="Y5" s="4"/>
      <c r="Z5" s="4"/>
    </row>
    <row r="6" ht="15.75" customHeight="1">
      <c r="A6" s="3" t="s">
        <v>813</v>
      </c>
      <c r="B6" s="3" t="s">
        <v>814</v>
      </c>
      <c r="C6" s="2" t="s">
        <v>327</v>
      </c>
      <c r="D6" s="3" t="s">
        <v>325</v>
      </c>
      <c r="E6" s="3" t="s">
        <v>810</v>
      </c>
      <c r="F6" s="3" t="s">
        <v>811</v>
      </c>
      <c r="G6" s="3" t="s">
        <v>815</v>
      </c>
      <c r="H6" s="3" t="s">
        <v>6</v>
      </c>
      <c r="I6" s="4"/>
      <c r="J6" s="4"/>
      <c r="K6" s="4"/>
      <c r="L6" s="4"/>
      <c r="M6" s="4"/>
      <c r="N6" s="4"/>
      <c r="O6" s="4"/>
      <c r="P6" s="4"/>
      <c r="Q6" s="4"/>
      <c r="R6" s="4"/>
      <c r="S6" s="4"/>
      <c r="T6" s="4"/>
      <c r="U6" s="4"/>
      <c r="V6" s="4"/>
      <c r="W6" s="4"/>
      <c r="X6" s="4"/>
      <c r="Y6" s="4"/>
      <c r="Z6" s="4"/>
    </row>
    <row r="7" ht="15.75" customHeight="1">
      <c r="A7" s="3" t="s">
        <v>816</v>
      </c>
      <c r="B7" s="3" t="s">
        <v>817</v>
      </c>
      <c r="C7" s="2" t="s">
        <v>379</v>
      </c>
      <c r="D7" s="3" t="s">
        <v>380</v>
      </c>
      <c r="E7" s="3" t="s">
        <v>818</v>
      </c>
      <c r="F7" s="3" t="s">
        <v>818</v>
      </c>
      <c r="G7" s="3" t="s">
        <v>819</v>
      </c>
      <c r="H7" s="3" t="s">
        <v>6</v>
      </c>
      <c r="I7" s="4"/>
      <c r="J7" s="4"/>
      <c r="K7" s="4"/>
      <c r="L7" s="4"/>
      <c r="M7" s="4"/>
      <c r="N7" s="4"/>
      <c r="O7" s="4"/>
      <c r="P7" s="4"/>
      <c r="Q7" s="4"/>
      <c r="R7" s="4"/>
      <c r="S7" s="4"/>
      <c r="T7" s="4"/>
      <c r="U7" s="4"/>
      <c r="V7" s="4"/>
      <c r="W7" s="4"/>
      <c r="X7" s="4"/>
      <c r="Y7" s="4"/>
      <c r="Z7" s="4"/>
    </row>
    <row r="8" ht="15.75" customHeight="1">
      <c r="A8" s="3" t="s">
        <v>820</v>
      </c>
      <c r="B8" s="3" t="s">
        <v>821</v>
      </c>
      <c r="C8" s="2" t="s">
        <v>129</v>
      </c>
      <c r="D8" s="3" t="s">
        <v>131</v>
      </c>
      <c r="E8" s="3" t="s">
        <v>822</v>
      </c>
      <c r="F8" s="3" t="s">
        <v>823</v>
      </c>
      <c r="G8" s="3" t="s">
        <v>824</v>
      </c>
      <c r="H8" s="3" t="s">
        <v>6</v>
      </c>
      <c r="I8" s="4"/>
      <c r="J8" s="4"/>
      <c r="K8" s="4"/>
      <c r="L8" s="4"/>
      <c r="M8" s="4"/>
      <c r="N8" s="4"/>
      <c r="O8" s="4"/>
      <c r="P8" s="4"/>
      <c r="Q8" s="4"/>
      <c r="R8" s="4"/>
      <c r="S8" s="4"/>
      <c r="T8" s="4"/>
      <c r="U8" s="4"/>
      <c r="V8" s="4"/>
      <c r="W8" s="4"/>
      <c r="X8" s="4"/>
      <c r="Y8" s="4"/>
      <c r="Z8" s="4"/>
    </row>
    <row r="9" ht="15.75" customHeight="1">
      <c r="A9" s="3" t="s">
        <v>825</v>
      </c>
      <c r="B9" s="3" t="s">
        <v>826</v>
      </c>
      <c r="C9" s="2" t="s">
        <v>80</v>
      </c>
      <c r="D9" s="3" t="s">
        <v>81</v>
      </c>
      <c r="E9" s="3" t="s">
        <v>827</v>
      </c>
      <c r="F9" s="3" t="s">
        <v>828</v>
      </c>
      <c r="G9" s="3" t="s">
        <v>829</v>
      </c>
      <c r="H9" s="3" t="s">
        <v>6</v>
      </c>
      <c r="I9" s="4"/>
      <c r="J9" s="4"/>
      <c r="K9" s="4"/>
      <c r="L9" s="4"/>
      <c r="M9" s="4"/>
      <c r="N9" s="4"/>
      <c r="O9" s="4"/>
      <c r="P9" s="4"/>
      <c r="Q9" s="4"/>
      <c r="R9" s="4"/>
      <c r="S9" s="4"/>
      <c r="T9" s="4"/>
      <c r="U9" s="4"/>
      <c r="V9" s="4"/>
      <c r="W9" s="4"/>
      <c r="X9" s="4"/>
      <c r="Y9" s="4"/>
      <c r="Z9" s="4"/>
    </row>
    <row r="10" ht="15.7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5.7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5.7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C2"/>
    <hyperlink r:id="rId2" ref="C3"/>
    <hyperlink r:id="rId3" ref="C4"/>
    <hyperlink r:id="rId4" ref="C5"/>
    <hyperlink r:id="rId5" ref="C6"/>
    <hyperlink r:id="rId6" ref="C7"/>
    <hyperlink r:id="rId7" ref="C8"/>
    <hyperlink r:id="rId8" ref="C9"/>
  </hyperlinks>
  <printOptions/>
  <pageMargins bottom="0.75" footer="0.0" header="0.0" left="0.7" right="0.7" top="0.75"/>
  <pageSetup orientation="landscape"/>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7.63"/>
  </cols>
  <sheetData>
    <row r="1" ht="15.75" customHeight="1">
      <c r="A1" s="3" t="s">
        <v>382</v>
      </c>
      <c r="B1" s="3" t="s">
        <v>383</v>
      </c>
      <c r="C1" s="3" t="s">
        <v>369</v>
      </c>
      <c r="D1" s="3" t="s">
        <v>373</v>
      </c>
      <c r="E1" s="3" t="s">
        <v>374</v>
      </c>
      <c r="F1" s="3" t="s">
        <v>375</v>
      </c>
      <c r="G1" s="3" t="s">
        <v>376</v>
      </c>
      <c r="H1" s="3" t="s">
        <v>377</v>
      </c>
      <c r="I1" s="4"/>
      <c r="J1" s="4"/>
      <c r="K1" s="4"/>
      <c r="L1" s="4"/>
      <c r="M1" s="4"/>
      <c r="N1" s="4"/>
      <c r="O1" s="4"/>
      <c r="P1" s="4"/>
      <c r="Q1" s="4"/>
      <c r="R1" s="4"/>
      <c r="S1" s="4"/>
      <c r="T1" s="4"/>
      <c r="U1" s="4"/>
      <c r="V1" s="4"/>
      <c r="W1" s="4"/>
      <c r="X1" s="4"/>
      <c r="Y1" s="4"/>
      <c r="Z1" s="4"/>
    </row>
    <row r="2" ht="15.75" customHeight="1">
      <c r="A2" s="3" t="s">
        <v>830</v>
      </c>
      <c r="B2" s="3" t="s">
        <v>831</v>
      </c>
      <c r="C2" s="2" t="s">
        <v>268</v>
      </c>
      <c r="D2" s="3" t="s">
        <v>832</v>
      </c>
      <c r="E2" s="3" t="s">
        <v>270</v>
      </c>
      <c r="F2" s="3" t="s">
        <v>833</v>
      </c>
      <c r="G2" s="3" t="s">
        <v>834</v>
      </c>
      <c r="H2" s="3" t="s">
        <v>6</v>
      </c>
      <c r="I2" s="4"/>
      <c r="J2" s="4"/>
      <c r="K2" s="4"/>
      <c r="L2" s="4"/>
      <c r="M2" s="4"/>
      <c r="N2" s="4"/>
      <c r="O2" s="4"/>
      <c r="P2" s="4"/>
      <c r="Q2" s="4"/>
      <c r="R2" s="4"/>
      <c r="S2" s="4"/>
      <c r="T2" s="4"/>
      <c r="U2" s="4"/>
      <c r="V2" s="4"/>
      <c r="W2" s="4"/>
      <c r="X2" s="4"/>
      <c r="Y2" s="4"/>
      <c r="Z2" s="4"/>
    </row>
    <row r="3" ht="15.75" customHeight="1">
      <c r="A3" s="3" t="s">
        <v>835</v>
      </c>
      <c r="B3" s="3" t="s">
        <v>836</v>
      </c>
      <c r="C3" s="2" t="s">
        <v>334</v>
      </c>
      <c r="D3" s="3" t="s">
        <v>837</v>
      </c>
      <c r="E3" s="3" t="s">
        <v>335</v>
      </c>
      <c r="F3" s="3" t="s">
        <v>838</v>
      </c>
      <c r="G3" s="3" t="s">
        <v>839</v>
      </c>
      <c r="H3" s="3" t="s">
        <v>6</v>
      </c>
      <c r="I3" s="4"/>
      <c r="J3" s="4"/>
      <c r="K3" s="4"/>
      <c r="L3" s="4"/>
      <c r="M3" s="4"/>
      <c r="N3" s="4"/>
      <c r="O3" s="4"/>
      <c r="P3" s="4"/>
      <c r="Q3" s="4"/>
      <c r="R3" s="4"/>
      <c r="S3" s="4"/>
      <c r="T3" s="4"/>
      <c r="U3" s="4"/>
      <c r="V3" s="4"/>
      <c r="W3" s="4"/>
      <c r="X3" s="4"/>
      <c r="Y3" s="4"/>
      <c r="Z3" s="4"/>
    </row>
    <row r="4" ht="15.75" customHeight="1">
      <c r="A4" s="3" t="s">
        <v>840</v>
      </c>
      <c r="B4" s="3" t="s">
        <v>841</v>
      </c>
      <c r="C4" s="2" t="s">
        <v>319</v>
      </c>
      <c r="D4" s="3" t="s">
        <v>842</v>
      </c>
      <c r="E4" s="3" t="s">
        <v>320</v>
      </c>
      <c r="F4" s="3" t="s">
        <v>843</v>
      </c>
      <c r="G4" s="3" t="s">
        <v>844</v>
      </c>
      <c r="H4" s="3" t="s">
        <v>6</v>
      </c>
      <c r="I4" s="4"/>
      <c r="J4" s="4"/>
      <c r="K4" s="4"/>
      <c r="L4" s="4"/>
      <c r="M4" s="4"/>
      <c r="N4" s="4"/>
      <c r="O4" s="4"/>
      <c r="P4" s="4"/>
      <c r="Q4" s="4"/>
      <c r="R4" s="4"/>
      <c r="S4" s="4"/>
      <c r="T4" s="4"/>
      <c r="U4" s="4"/>
      <c r="V4" s="4"/>
      <c r="W4" s="4"/>
      <c r="X4" s="4"/>
      <c r="Y4" s="4"/>
      <c r="Z4" s="4"/>
    </row>
    <row r="5" ht="15.75" customHeight="1">
      <c r="A5" s="3" t="s">
        <v>845</v>
      </c>
      <c r="B5" s="3" t="s">
        <v>846</v>
      </c>
      <c r="C5" s="2" t="s">
        <v>38</v>
      </c>
      <c r="D5" s="3" t="s">
        <v>847</v>
      </c>
      <c r="E5" s="3" t="s">
        <v>42</v>
      </c>
      <c r="F5" s="3" t="s">
        <v>848</v>
      </c>
      <c r="G5" s="3" t="s">
        <v>849</v>
      </c>
      <c r="H5" s="3" t="s">
        <v>6</v>
      </c>
      <c r="I5" s="4"/>
      <c r="J5" s="4"/>
      <c r="K5" s="4"/>
      <c r="L5" s="4"/>
      <c r="M5" s="4"/>
      <c r="N5" s="4"/>
      <c r="O5" s="4"/>
      <c r="P5" s="4"/>
      <c r="Q5" s="4"/>
      <c r="R5" s="4"/>
      <c r="S5" s="4"/>
      <c r="T5" s="4"/>
      <c r="U5" s="4"/>
      <c r="V5" s="4"/>
      <c r="W5" s="4"/>
      <c r="X5" s="4"/>
      <c r="Y5" s="4"/>
      <c r="Z5" s="4"/>
    </row>
    <row r="6" ht="15.75" customHeight="1">
      <c r="A6" s="3" t="s">
        <v>850</v>
      </c>
      <c r="B6" s="3" t="s">
        <v>851</v>
      </c>
      <c r="C6" s="2" t="s">
        <v>122</v>
      </c>
      <c r="D6" s="3" t="s">
        <v>118</v>
      </c>
      <c r="E6" s="3" t="s">
        <v>123</v>
      </c>
      <c r="F6" s="3" t="s">
        <v>852</v>
      </c>
      <c r="G6" s="3" t="s">
        <v>853</v>
      </c>
      <c r="H6" s="3" t="s">
        <v>6</v>
      </c>
      <c r="I6" s="4"/>
      <c r="J6" s="4"/>
      <c r="K6" s="4"/>
      <c r="L6" s="4"/>
      <c r="M6" s="4"/>
      <c r="N6" s="4"/>
      <c r="O6" s="4"/>
      <c r="P6" s="4"/>
      <c r="Q6" s="4"/>
      <c r="R6" s="4"/>
      <c r="S6" s="4"/>
      <c r="T6" s="4"/>
      <c r="U6" s="4"/>
      <c r="V6" s="4"/>
      <c r="W6" s="4"/>
      <c r="X6" s="4"/>
      <c r="Y6" s="4"/>
      <c r="Z6" s="4"/>
    </row>
    <row r="7" ht="15.75" customHeight="1">
      <c r="A7" s="3" t="s">
        <v>854</v>
      </c>
      <c r="B7" s="3" t="s">
        <v>855</v>
      </c>
      <c r="C7" s="2" t="s">
        <v>311</v>
      </c>
      <c r="D7" s="3" t="s">
        <v>856</v>
      </c>
      <c r="E7" s="3" t="s">
        <v>312</v>
      </c>
      <c r="F7" s="3" t="s">
        <v>312</v>
      </c>
      <c r="G7" s="3" t="s">
        <v>857</v>
      </c>
      <c r="H7" s="3" t="s">
        <v>6</v>
      </c>
      <c r="I7" s="4"/>
      <c r="J7" s="4"/>
      <c r="K7" s="4"/>
      <c r="L7" s="4"/>
      <c r="M7" s="4"/>
      <c r="N7" s="4"/>
      <c r="O7" s="4"/>
      <c r="P7" s="4"/>
      <c r="Q7" s="4"/>
      <c r="R7" s="4"/>
      <c r="S7" s="4"/>
      <c r="T7" s="4"/>
      <c r="U7" s="4"/>
      <c r="V7" s="4"/>
      <c r="W7" s="4"/>
      <c r="X7" s="4"/>
      <c r="Y7" s="4"/>
      <c r="Z7" s="4"/>
    </row>
    <row r="8" ht="15.75" customHeight="1">
      <c r="A8" s="3" t="s">
        <v>858</v>
      </c>
      <c r="B8" s="3" t="s">
        <v>859</v>
      </c>
      <c r="C8" s="2" t="s">
        <v>211</v>
      </c>
      <c r="D8" s="3" t="s">
        <v>860</v>
      </c>
      <c r="E8" s="3" t="s">
        <v>212</v>
      </c>
      <c r="F8" s="3" t="s">
        <v>212</v>
      </c>
      <c r="G8" s="3" t="s">
        <v>861</v>
      </c>
      <c r="H8" s="3" t="s">
        <v>6</v>
      </c>
      <c r="I8" s="4"/>
      <c r="J8" s="4"/>
      <c r="K8" s="4"/>
      <c r="L8" s="4"/>
      <c r="M8" s="4"/>
      <c r="N8" s="4"/>
      <c r="O8" s="4"/>
      <c r="P8" s="4"/>
      <c r="Q8" s="4"/>
      <c r="R8" s="4"/>
      <c r="S8" s="4"/>
      <c r="T8" s="4"/>
      <c r="U8" s="4"/>
      <c r="V8" s="4"/>
      <c r="W8" s="4"/>
      <c r="X8" s="4"/>
      <c r="Y8" s="4"/>
      <c r="Z8" s="4"/>
    </row>
    <row r="9" ht="15.75" customHeight="1">
      <c r="A9" s="3" t="s">
        <v>862</v>
      </c>
      <c r="B9" s="3" t="s">
        <v>863</v>
      </c>
      <c r="C9" s="2" t="s">
        <v>102</v>
      </c>
      <c r="D9" s="3" t="s">
        <v>864</v>
      </c>
      <c r="E9" s="3" t="s">
        <v>103</v>
      </c>
      <c r="F9" s="3" t="s">
        <v>865</v>
      </c>
      <c r="G9" s="3" t="s">
        <v>866</v>
      </c>
      <c r="H9" s="3" t="s">
        <v>6</v>
      </c>
      <c r="I9" s="4"/>
      <c r="J9" s="4"/>
      <c r="K9" s="4"/>
      <c r="L9" s="4"/>
      <c r="M9" s="4"/>
      <c r="N9" s="4"/>
      <c r="O9" s="4"/>
      <c r="P9" s="4"/>
      <c r="Q9" s="4"/>
      <c r="R9" s="4"/>
      <c r="S9" s="4"/>
      <c r="T9" s="4"/>
      <c r="U9" s="4"/>
      <c r="V9" s="4"/>
      <c r="W9" s="4"/>
      <c r="X9" s="4"/>
      <c r="Y9" s="4"/>
      <c r="Z9" s="4"/>
    </row>
    <row r="10" ht="15.75" customHeight="1">
      <c r="A10" s="3" t="s">
        <v>867</v>
      </c>
      <c r="B10" s="3" t="s">
        <v>868</v>
      </c>
      <c r="C10" s="2" t="s">
        <v>74</v>
      </c>
      <c r="D10" s="3" t="s">
        <v>869</v>
      </c>
      <c r="E10" s="3" t="s">
        <v>75</v>
      </c>
      <c r="F10" s="3" t="s">
        <v>870</v>
      </c>
      <c r="G10" s="3" t="s">
        <v>871</v>
      </c>
      <c r="H10" s="3" t="s">
        <v>6</v>
      </c>
      <c r="I10" s="4"/>
      <c r="J10" s="4"/>
      <c r="K10" s="4"/>
      <c r="L10" s="4"/>
      <c r="M10" s="4"/>
      <c r="N10" s="4"/>
      <c r="O10" s="4"/>
      <c r="P10" s="4"/>
      <c r="Q10" s="4"/>
      <c r="R10" s="4"/>
      <c r="S10" s="4"/>
      <c r="T10" s="4"/>
      <c r="U10" s="4"/>
      <c r="V10" s="4"/>
      <c r="W10" s="4"/>
      <c r="X10" s="4"/>
      <c r="Y10" s="4"/>
      <c r="Z10" s="4"/>
    </row>
    <row r="11" ht="15.75" customHeight="1">
      <c r="A11" s="3" t="s">
        <v>872</v>
      </c>
      <c r="B11" s="3" t="s">
        <v>873</v>
      </c>
      <c r="C11" s="2" t="s">
        <v>163</v>
      </c>
      <c r="D11" s="3" t="s">
        <v>874</v>
      </c>
      <c r="E11" s="3" t="s">
        <v>164</v>
      </c>
      <c r="F11" s="3" t="s">
        <v>875</v>
      </c>
      <c r="G11" s="3" t="s">
        <v>876</v>
      </c>
      <c r="H11" s="3" t="s">
        <v>6</v>
      </c>
      <c r="I11" s="4"/>
      <c r="J11" s="4"/>
      <c r="K11" s="4"/>
      <c r="L11" s="4"/>
      <c r="M11" s="4"/>
      <c r="N11" s="4"/>
      <c r="O11" s="4"/>
      <c r="P11" s="4"/>
      <c r="Q11" s="4"/>
      <c r="R11" s="4"/>
      <c r="S11" s="4"/>
      <c r="T11" s="4"/>
      <c r="U11" s="4"/>
      <c r="V11" s="4"/>
      <c r="W11" s="4"/>
      <c r="X11" s="4"/>
      <c r="Y11" s="4"/>
      <c r="Z11" s="4"/>
    </row>
    <row r="12" ht="15.75" customHeight="1">
      <c r="A12" s="3" t="s">
        <v>877</v>
      </c>
      <c r="B12" s="3" t="s">
        <v>878</v>
      </c>
      <c r="C12" s="2" t="s">
        <v>153</v>
      </c>
      <c r="D12" s="3" t="s">
        <v>879</v>
      </c>
      <c r="E12" s="3" t="s">
        <v>154</v>
      </c>
      <c r="F12" s="3" t="s">
        <v>880</v>
      </c>
      <c r="G12" s="3" t="s">
        <v>881</v>
      </c>
      <c r="H12" s="3" t="s">
        <v>6</v>
      </c>
      <c r="I12" s="4"/>
      <c r="J12" s="4"/>
      <c r="K12" s="4"/>
      <c r="L12" s="4"/>
      <c r="M12" s="4"/>
      <c r="N12" s="4"/>
      <c r="O12" s="4"/>
      <c r="P12" s="4"/>
      <c r="Q12" s="4"/>
      <c r="R12" s="4"/>
      <c r="S12" s="4"/>
      <c r="T12" s="4"/>
      <c r="U12" s="4"/>
      <c r="V12" s="4"/>
      <c r="W12" s="4"/>
      <c r="X12" s="4"/>
      <c r="Y12" s="4"/>
      <c r="Z12" s="4"/>
    </row>
    <row r="13" ht="15.75" customHeight="1">
      <c r="A13" s="3" t="s">
        <v>882</v>
      </c>
      <c r="B13" s="3" t="s">
        <v>883</v>
      </c>
      <c r="C13" s="2" t="s">
        <v>112</v>
      </c>
      <c r="D13" s="3" t="s">
        <v>884</v>
      </c>
      <c r="E13" s="3" t="s">
        <v>114</v>
      </c>
      <c r="F13" s="3" t="s">
        <v>885</v>
      </c>
      <c r="G13" s="3" t="s">
        <v>886</v>
      </c>
      <c r="H13" s="3" t="s">
        <v>6</v>
      </c>
      <c r="I13" s="4"/>
      <c r="J13" s="4"/>
      <c r="K13" s="4"/>
      <c r="L13" s="4"/>
      <c r="M13" s="4"/>
      <c r="N13" s="4"/>
      <c r="O13" s="4"/>
      <c r="P13" s="4"/>
      <c r="Q13" s="4"/>
      <c r="R13" s="4"/>
      <c r="S13" s="4"/>
      <c r="T13" s="4"/>
      <c r="U13" s="4"/>
      <c r="V13" s="4"/>
      <c r="W13" s="4"/>
      <c r="X13" s="4"/>
      <c r="Y13" s="4"/>
      <c r="Z13" s="4"/>
    </row>
    <row r="14" ht="15.75" customHeight="1">
      <c r="A14" s="3" t="s">
        <v>887</v>
      </c>
      <c r="B14" s="3" t="s">
        <v>888</v>
      </c>
      <c r="C14" s="2" t="s">
        <v>174</v>
      </c>
      <c r="D14" s="3" t="s">
        <v>173</v>
      </c>
      <c r="E14" s="3" t="s">
        <v>175</v>
      </c>
      <c r="F14" s="3" t="s">
        <v>537</v>
      </c>
      <c r="G14" s="3" t="s">
        <v>889</v>
      </c>
      <c r="H14" s="3" t="s">
        <v>6</v>
      </c>
      <c r="I14" s="4"/>
      <c r="J14" s="4"/>
      <c r="K14" s="4"/>
      <c r="L14" s="4"/>
      <c r="M14" s="4"/>
      <c r="N14" s="4"/>
      <c r="O14" s="4"/>
      <c r="P14" s="4"/>
      <c r="Q14" s="4"/>
      <c r="R14" s="4"/>
      <c r="S14" s="4"/>
      <c r="T14" s="4"/>
      <c r="U14" s="4"/>
      <c r="V14" s="4"/>
      <c r="W14" s="4"/>
      <c r="X14" s="4"/>
      <c r="Y14" s="4"/>
      <c r="Z14" s="4"/>
    </row>
    <row r="15" ht="15.75" customHeight="1">
      <c r="A15" s="3" t="s">
        <v>890</v>
      </c>
      <c r="B15" s="3" t="s">
        <v>891</v>
      </c>
      <c r="C15" s="2" t="s">
        <v>78</v>
      </c>
      <c r="D15" s="3" t="s">
        <v>892</v>
      </c>
      <c r="E15" s="3" t="s">
        <v>79</v>
      </c>
      <c r="F15" s="3" t="s">
        <v>893</v>
      </c>
      <c r="G15" s="3" t="s">
        <v>894</v>
      </c>
      <c r="H15" s="3" t="s">
        <v>6</v>
      </c>
      <c r="I15" s="4"/>
      <c r="J15" s="4"/>
      <c r="K15" s="4"/>
      <c r="L15" s="4"/>
      <c r="M15" s="4"/>
      <c r="N15" s="4"/>
      <c r="O15" s="4"/>
      <c r="P15" s="4"/>
      <c r="Q15" s="4"/>
      <c r="R15" s="4"/>
      <c r="S15" s="4"/>
      <c r="T15" s="4"/>
      <c r="U15" s="4"/>
      <c r="V15" s="4"/>
      <c r="W15" s="4"/>
      <c r="X15" s="4"/>
      <c r="Y15" s="4"/>
      <c r="Z15" s="4"/>
    </row>
    <row r="16" ht="15.75" customHeight="1">
      <c r="A16" s="3" t="s">
        <v>895</v>
      </c>
      <c r="B16" s="3" t="s">
        <v>896</v>
      </c>
      <c r="C16" s="2" t="s">
        <v>276</v>
      </c>
      <c r="D16" s="3" t="s">
        <v>897</v>
      </c>
      <c r="E16" s="3" t="s">
        <v>277</v>
      </c>
      <c r="F16" s="3" t="s">
        <v>898</v>
      </c>
      <c r="G16" s="3" t="s">
        <v>899</v>
      </c>
      <c r="H16" s="3" t="s">
        <v>6</v>
      </c>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s>
  <printOptions/>
  <pageMargins bottom="0.75" footer="0.0" header="0.0" left="0.7" right="0.7" top="0.75"/>
  <pageSetup orientation="landscape"/>
  <drawing r:id="rId1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88"/>
    <col customWidth="1" min="3" max="3" width="19.5"/>
  </cols>
  <sheetData>
    <row r="1">
      <c r="A1" s="21" t="s">
        <v>900</v>
      </c>
      <c r="B1" s="21" t="s">
        <v>901</v>
      </c>
      <c r="C1" s="21" t="s">
        <v>902</v>
      </c>
    </row>
    <row r="2">
      <c r="A2" s="21">
        <v>1.0</v>
      </c>
      <c r="B2" s="5" t="str">
        <f t="array" ref="B2:B201">IF(A2:A201="", "", IFERROR(VLOOKUP(A2:A201, Evaluation!A:F, 6, FALSE), ""))</f>
        <v/>
      </c>
      <c r="C2" s="5" t="str">
        <f t="array" ref="C2:C1001">IF(A2:A1001="", "", IFERROR(VLOOKUP(A2:A1001, 'All Applications'!B:F, 4, FALSE), ""))</f>
        <v/>
      </c>
    </row>
    <row r="3">
      <c r="A3" s="21">
        <v>2.0</v>
      </c>
      <c r="B3" s="5" t="s">
        <v>903</v>
      </c>
      <c r="C3" s="5" t="s">
        <v>903</v>
      </c>
    </row>
    <row r="4">
      <c r="A4" s="21">
        <v>3.0</v>
      </c>
      <c r="B4" s="5" t="s">
        <v>903</v>
      </c>
      <c r="C4" s="5" t="s">
        <v>903</v>
      </c>
    </row>
    <row r="5">
      <c r="A5" s="21">
        <v>4.0</v>
      </c>
      <c r="B5" s="5" t="s">
        <v>903</v>
      </c>
      <c r="C5" s="5" t="s">
        <v>903</v>
      </c>
    </row>
    <row r="6">
      <c r="A6" s="21">
        <v>5.0</v>
      </c>
      <c r="B6" s="5" t="s">
        <v>903</v>
      </c>
      <c r="C6" s="5" t="s">
        <v>903</v>
      </c>
    </row>
    <row r="7">
      <c r="A7" s="21">
        <v>6.0</v>
      </c>
      <c r="B7" s="5" t="s">
        <v>903</v>
      </c>
      <c r="C7" s="5">
        <v>46143.12013888889</v>
      </c>
    </row>
    <row r="8">
      <c r="A8" s="21">
        <v>7.0</v>
      </c>
      <c r="B8" s="5" t="s">
        <v>903</v>
      </c>
      <c r="C8" s="5" t="s">
        <v>903</v>
      </c>
    </row>
    <row r="9">
      <c r="A9" s="21">
        <v>8.0</v>
      </c>
      <c r="B9" s="5" t="s">
        <v>903</v>
      </c>
      <c r="C9" s="5">
        <v>46160.94791666666</v>
      </c>
    </row>
    <row r="10">
      <c r="A10" s="21">
        <v>9.0</v>
      </c>
      <c r="B10" s="5" t="s">
        <v>903</v>
      </c>
      <c r="C10" s="5" t="s">
        <v>903</v>
      </c>
    </row>
    <row r="11">
      <c r="A11" s="21">
        <v>10.0</v>
      </c>
      <c r="B11" s="5" t="s">
        <v>903</v>
      </c>
      <c r="C11" s="5">
        <v>46172.23958333334</v>
      </c>
    </row>
    <row r="12">
      <c r="A12" s="21">
        <v>11.0</v>
      </c>
      <c r="B12" s="5" t="s">
        <v>2</v>
      </c>
      <c r="C12" s="5">
        <v>46172.28333333333</v>
      </c>
    </row>
    <row r="13">
      <c r="A13" s="21">
        <v>12.0</v>
      </c>
      <c r="B13" s="5" t="s">
        <v>10</v>
      </c>
      <c r="C13" s="5">
        <v>46172.42430555556</v>
      </c>
    </row>
    <row r="14">
      <c r="A14" s="21">
        <v>13.0</v>
      </c>
      <c r="B14" s="5" t="s">
        <v>16</v>
      </c>
      <c r="C14" s="5">
        <v>46172.49930555555</v>
      </c>
    </row>
    <row r="15">
      <c r="A15" s="21">
        <v>14.0</v>
      </c>
      <c r="B15" s="5" t="s">
        <v>903</v>
      </c>
      <c r="C15" s="5">
        <v>46173.01388888889</v>
      </c>
    </row>
    <row r="16">
      <c r="A16" s="21">
        <v>15.0</v>
      </c>
      <c r="B16" s="5" t="s">
        <v>21</v>
      </c>
      <c r="C16" s="5">
        <v>46174.01597222222</v>
      </c>
    </row>
    <row r="17">
      <c r="A17" s="21">
        <v>16.0</v>
      </c>
      <c r="B17" s="5" t="s">
        <v>903</v>
      </c>
      <c r="C17" s="5">
        <v>46174.50972222222</v>
      </c>
    </row>
    <row r="18">
      <c r="A18" s="21">
        <v>17.0</v>
      </c>
      <c r="B18" s="5" t="s">
        <v>25</v>
      </c>
      <c r="C18" s="5">
        <v>46174.84861111111</v>
      </c>
    </row>
    <row r="19">
      <c r="A19" s="21">
        <v>18.0</v>
      </c>
      <c r="B19" s="5" t="s">
        <v>30</v>
      </c>
      <c r="C19" s="5">
        <v>46175.33402777778</v>
      </c>
    </row>
    <row r="20">
      <c r="A20" s="21">
        <v>19.0</v>
      </c>
      <c r="B20" s="5" t="s">
        <v>903</v>
      </c>
      <c r="C20" s="5" t="s">
        <v>903</v>
      </c>
    </row>
    <row r="21">
      <c r="A21" s="21">
        <v>20.0</v>
      </c>
      <c r="B21" s="5" t="s">
        <v>33</v>
      </c>
      <c r="C21" s="5">
        <v>46176.02013888889</v>
      </c>
    </row>
    <row r="22">
      <c r="A22" s="21">
        <v>21.0</v>
      </c>
      <c r="B22" s="5" t="s">
        <v>35</v>
      </c>
      <c r="C22" s="5">
        <v>46176.46319444444</v>
      </c>
    </row>
    <row r="23">
      <c r="A23" s="21">
        <v>22.0</v>
      </c>
      <c r="B23" s="5" t="s">
        <v>903</v>
      </c>
      <c r="C23" s="5" t="s">
        <v>903</v>
      </c>
    </row>
    <row r="24">
      <c r="A24" s="21">
        <v>23.0</v>
      </c>
      <c r="B24" s="5" t="s">
        <v>903</v>
      </c>
      <c r="C24" s="5" t="s">
        <v>903</v>
      </c>
    </row>
    <row r="25">
      <c r="A25" s="21">
        <v>24.0</v>
      </c>
      <c r="B25" s="5" t="s">
        <v>903</v>
      </c>
      <c r="C25" s="5" t="s">
        <v>903</v>
      </c>
    </row>
    <row r="26">
      <c r="A26" s="21">
        <v>25.0</v>
      </c>
      <c r="B26" s="5" t="s">
        <v>37</v>
      </c>
      <c r="C26" s="5">
        <v>46181.89097222222</v>
      </c>
    </row>
    <row r="27">
      <c r="A27" s="21">
        <v>26.0</v>
      </c>
      <c r="B27" s="5" t="s">
        <v>903</v>
      </c>
      <c r="C27" s="5">
        <v>46184.77986111111</v>
      </c>
    </row>
    <row r="28">
      <c r="A28" s="21">
        <v>27.0</v>
      </c>
      <c r="B28" s="5" t="s">
        <v>42</v>
      </c>
      <c r="C28" s="5">
        <v>46185.00277777778</v>
      </c>
    </row>
    <row r="29">
      <c r="A29" s="21">
        <v>28.0</v>
      </c>
      <c r="B29" s="5" t="s">
        <v>903</v>
      </c>
      <c r="C29" s="5">
        <v>46185.62222222222</v>
      </c>
    </row>
    <row r="30">
      <c r="A30" s="21">
        <v>29.0</v>
      </c>
      <c r="B30" s="5" t="s">
        <v>903</v>
      </c>
      <c r="C30" s="5">
        <v>46186.31388888889</v>
      </c>
    </row>
    <row r="31">
      <c r="A31" s="21">
        <v>30.0</v>
      </c>
      <c r="B31" s="5" t="s">
        <v>903</v>
      </c>
      <c r="C31" s="5" t="s">
        <v>903</v>
      </c>
    </row>
    <row r="32">
      <c r="A32" s="21">
        <v>31.0</v>
      </c>
      <c r="B32" s="5" t="s">
        <v>45</v>
      </c>
      <c r="C32" s="5">
        <v>46186.77430555555</v>
      </c>
    </row>
    <row r="33">
      <c r="A33" s="21">
        <v>32.0</v>
      </c>
      <c r="B33" s="5" t="s">
        <v>47</v>
      </c>
      <c r="C33" s="5">
        <v>46186.82708333333</v>
      </c>
    </row>
    <row r="34">
      <c r="A34" s="21">
        <v>33.0</v>
      </c>
      <c r="B34" s="5" t="s">
        <v>49</v>
      </c>
      <c r="C34" s="5">
        <v>46186.87847222222</v>
      </c>
    </row>
    <row r="35">
      <c r="A35" s="21">
        <v>34.0</v>
      </c>
      <c r="B35" s="5" t="s">
        <v>51</v>
      </c>
      <c r="C35" s="5">
        <v>46186.96527777778</v>
      </c>
    </row>
    <row r="36">
      <c r="A36" s="21">
        <v>35.0</v>
      </c>
      <c r="B36" s="5" t="s">
        <v>903</v>
      </c>
      <c r="C36" s="5">
        <v>46187.08611111111</v>
      </c>
    </row>
    <row r="37">
      <c r="A37" s="21">
        <v>36.0</v>
      </c>
      <c r="B37" s="5" t="s">
        <v>903</v>
      </c>
      <c r="C37" s="5">
        <v>46187.56666666667</v>
      </c>
    </row>
    <row r="38">
      <c r="A38" s="21">
        <v>37.0</v>
      </c>
      <c r="B38" s="5" t="s">
        <v>903</v>
      </c>
      <c r="C38" s="5">
        <v>46187.76041666666</v>
      </c>
    </row>
    <row r="39">
      <c r="A39" s="21">
        <v>38.0</v>
      </c>
      <c r="B39" s="5" t="s">
        <v>903</v>
      </c>
      <c r="C39" s="5">
        <v>46188.46666666667</v>
      </c>
    </row>
    <row r="40">
      <c r="A40" s="21">
        <v>39.0</v>
      </c>
      <c r="B40" s="5" t="s">
        <v>57</v>
      </c>
      <c r="C40" s="5">
        <v>46188.67152777778</v>
      </c>
    </row>
    <row r="41">
      <c r="A41" s="21">
        <v>40.0</v>
      </c>
      <c r="B41" s="5" t="s">
        <v>60</v>
      </c>
      <c r="C41" s="5">
        <v>46188.92291666667</v>
      </c>
    </row>
    <row r="42">
      <c r="A42" s="21">
        <v>41.0</v>
      </c>
      <c r="B42" s="5" t="s">
        <v>903</v>
      </c>
      <c r="C42" s="5">
        <v>46189.35069444445</v>
      </c>
    </row>
    <row r="43">
      <c r="A43" s="21">
        <v>42.0</v>
      </c>
      <c r="B43" s="5" t="s">
        <v>903</v>
      </c>
      <c r="C43" s="5">
        <v>46189.62847222222</v>
      </c>
    </row>
    <row r="44">
      <c r="A44" s="21">
        <v>43.0</v>
      </c>
      <c r="B44" s="5" t="s">
        <v>63</v>
      </c>
      <c r="C44" s="5">
        <v>46189.72361111111</v>
      </c>
    </row>
    <row r="45">
      <c r="A45" s="21">
        <v>44.0</v>
      </c>
      <c r="B45" s="5" t="s">
        <v>65</v>
      </c>
      <c r="C45" s="5">
        <v>46189.75902777778</v>
      </c>
    </row>
    <row r="46">
      <c r="A46" s="21">
        <v>45.0</v>
      </c>
      <c r="B46" s="5" t="s">
        <v>903</v>
      </c>
      <c r="C46" s="5" t="s">
        <v>903</v>
      </c>
    </row>
    <row r="47">
      <c r="A47" s="21">
        <v>46.0</v>
      </c>
      <c r="B47" s="5" t="s">
        <v>67</v>
      </c>
      <c r="C47" s="5">
        <v>46190.0125</v>
      </c>
    </row>
    <row r="48">
      <c r="A48" s="21">
        <v>47.0</v>
      </c>
      <c r="B48" s="5" t="s">
        <v>903</v>
      </c>
      <c r="C48" s="5" t="s">
        <v>903</v>
      </c>
    </row>
    <row r="49">
      <c r="A49" s="21">
        <v>48.0</v>
      </c>
      <c r="B49" s="5" t="s">
        <v>903</v>
      </c>
      <c r="C49" s="5">
        <v>46190.7</v>
      </c>
    </row>
    <row r="50">
      <c r="A50" s="21">
        <v>49.0</v>
      </c>
      <c r="B50" s="5" t="s">
        <v>70</v>
      </c>
      <c r="C50" s="5">
        <v>46191.83958333333</v>
      </c>
    </row>
    <row r="51">
      <c r="A51" s="21">
        <v>50.0</v>
      </c>
      <c r="B51" s="5" t="s">
        <v>75</v>
      </c>
      <c r="C51" s="5">
        <v>46191.85833333333</v>
      </c>
    </row>
    <row r="52">
      <c r="A52" s="21">
        <v>51.0</v>
      </c>
      <c r="B52" s="5" t="s">
        <v>903</v>
      </c>
      <c r="C52" s="5">
        <v>46191.97291666667</v>
      </c>
    </row>
    <row r="53">
      <c r="A53" s="21">
        <v>52.0</v>
      </c>
      <c r="B53" s="5" t="s">
        <v>77</v>
      </c>
      <c r="C53" s="5">
        <v>46192.01388888889</v>
      </c>
    </row>
    <row r="54">
      <c r="A54" s="21">
        <v>53.0</v>
      </c>
      <c r="B54" s="5" t="s">
        <v>79</v>
      </c>
      <c r="C54" s="5">
        <v>46192.40069444444</v>
      </c>
    </row>
    <row r="55">
      <c r="A55" s="21">
        <v>54.0</v>
      </c>
      <c r="B55" s="5" t="s">
        <v>81</v>
      </c>
      <c r="C55" s="5">
        <v>46192.79097222222</v>
      </c>
    </row>
    <row r="56">
      <c r="A56" s="21">
        <v>55.0</v>
      </c>
      <c r="B56" s="5" t="s">
        <v>83</v>
      </c>
      <c r="C56" s="5">
        <v>46192.9125</v>
      </c>
    </row>
    <row r="57">
      <c r="A57" s="21">
        <v>56.0</v>
      </c>
      <c r="B57" s="5" t="s">
        <v>87</v>
      </c>
      <c r="C57" s="5">
        <v>46192.91805555556</v>
      </c>
    </row>
    <row r="58">
      <c r="A58" s="21">
        <v>57.0</v>
      </c>
      <c r="B58" s="5" t="s">
        <v>89</v>
      </c>
      <c r="C58" s="5">
        <v>46194.63680555556</v>
      </c>
    </row>
    <row r="59">
      <c r="A59" s="21">
        <v>58.0</v>
      </c>
      <c r="B59" s="5" t="s">
        <v>91</v>
      </c>
      <c r="C59" s="5">
        <v>46194.97152777778</v>
      </c>
    </row>
    <row r="60">
      <c r="A60" s="21">
        <v>59.0</v>
      </c>
      <c r="B60" s="5" t="s">
        <v>93</v>
      </c>
      <c r="C60" s="5">
        <v>46195.02777777778</v>
      </c>
    </row>
    <row r="61">
      <c r="A61" s="21">
        <v>60.0</v>
      </c>
      <c r="B61" s="5" t="s">
        <v>97</v>
      </c>
      <c r="C61" s="5">
        <v>46195.14305555556</v>
      </c>
    </row>
    <row r="62">
      <c r="A62" s="21">
        <v>61.0</v>
      </c>
      <c r="B62" s="5" t="s">
        <v>99</v>
      </c>
      <c r="C62" s="5">
        <v>46195.18958333333</v>
      </c>
    </row>
    <row r="63">
      <c r="A63" s="21">
        <v>62.0</v>
      </c>
      <c r="B63" s="5" t="s">
        <v>101</v>
      </c>
      <c r="C63" s="5">
        <v>46195.89236111111</v>
      </c>
    </row>
    <row r="64">
      <c r="A64" s="21">
        <v>63.0</v>
      </c>
      <c r="B64" s="5" t="s">
        <v>903</v>
      </c>
      <c r="C64" s="5" t="s">
        <v>903</v>
      </c>
    </row>
    <row r="65">
      <c r="A65" s="21">
        <v>64.0</v>
      </c>
      <c r="B65" s="5" t="s">
        <v>903</v>
      </c>
      <c r="C65" s="5">
        <v>46196.57847222222</v>
      </c>
    </row>
    <row r="66">
      <c r="A66" s="21">
        <v>65.0</v>
      </c>
      <c r="B66" s="5" t="s">
        <v>103</v>
      </c>
      <c r="C66" s="5">
        <v>46196.95416666667</v>
      </c>
    </row>
    <row r="67">
      <c r="A67" s="21">
        <v>66.0</v>
      </c>
      <c r="B67" s="5" t="s">
        <v>105</v>
      </c>
      <c r="C67" s="5">
        <v>46197.07847222222</v>
      </c>
    </row>
    <row r="68">
      <c r="A68" s="21">
        <v>67.0</v>
      </c>
      <c r="B68" s="5" t="s">
        <v>903</v>
      </c>
      <c r="C68" s="5">
        <v>46197.37777777778</v>
      </c>
    </row>
    <row r="69">
      <c r="A69" s="21">
        <v>68.0</v>
      </c>
      <c r="B69" s="5" t="s">
        <v>903</v>
      </c>
      <c r="C69" s="5">
        <v>46197.59583333333</v>
      </c>
    </row>
    <row r="70">
      <c r="A70" s="21">
        <v>69.0</v>
      </c>
      <c r="B70" s="5" t="s">
        <v>111</v>
      </c>
      <c r="C70" s="5">
        <v>46197.87013888889</v>
      </c>
    </row>
    <row r="71">
      <c r="A71" s="21">
        <v>70.0</v>
      </c>
      <c r="B71" s="5" t="s">
        <v>114</v>
      </c>
      <c r="C71" s="5">
        <v>46197.96388888889</v>
      </c>
    </row>
    <row r="72">
      <c r="A72" s="21">
        <v>71.0</v>
      </c>
      <c r="B72" s="5" t="s">
        <v>116</v>
      </c>
      <c r="C72" s="5">
        <v>46198.42847222222</v>
      </c>
    </row>
    <row r="73">
      <c r="A73" s="21">
        <v>72.0</v>
      </c>
      <c r="B73" s="5" t="s">
        <v>118</v>
      </c>
      <c r="C73" s="5">
        <v>46198.50694444445</v>
      </c>
    </row>
    <row r="74">
      <c r="A74" s="21">
        <v>73.0</v>
      </c>
      <c r="B74" s="5" t="s">
        <v>126</v>
      </c>
      <c r="C74" s="5">
        <v>46199.67013888889</v>
      </c>
    </row>
    <row r="75">
      <c r="A75" s="21">
        <v>74.0</v>
      </c>
      <c r="B75" s="5" t="s">
        <v>903</v>
      </c>
      <c r="C75" s="5">
        <v>46199.75902777778</v>
      </c>
    </row>
    <row r="76">
      <c r="A76" s="21">
        <v>75.0</v>
      </c>
      <c r="B76" s="5" t="s">
        <v>128</v>
      </c>
      <c r="C76" s="5">
        <v>46199.98541666667</v>
      </c>
    </row>
    <row r="77">
      <c r="A77" s="21">
        <v>76.0</v>
      </c>
      <c r="B77" s="5" t="s">
        <v>903</v>
      </c>
      <c r="C77" s="5">
        <v>46200.01458333333</v>
      </c>
    </row>
    <row r="78">
      <c r="A78" s="21">
        <v>77.0</v>
      </c>
      <c r="B78" s="5" t="s">
        <v>903</v>
      </c>
      <c r="C78" s="5" t="s">
        <v>903</v>
      </c>
    </row>
    <row r="79">
      <c r="A79" s="21">
        <v>78.0</v>
      </c>
      <c r="B79" s="5" t="s">
        <v>131</v>
      </c>
      <c r="C79" s="5">
        <v>46200.76944444444</v>
      </c>
    </row>
    <row r="80">
      <c r="A80" s="21">
        <v>79.0</v>
      </c>
      <c r="B80" s="5" t="s">
        <v>903</v>
      </c>
      <c r="C80" s="5">
        <v>46201.26666666667</v>
      </c>
    </row>
    <row r="81">
      <c r="A81" s="21">
        <v>80.0</v>
      </c>
      <c r="B81" s="5" t="s">
        <v>133</v>
      </c>
      <c r="C81" s="5">
        <v>46201.85694444444</v>
      </c>
    </row>
    <row r="82">
      <c r="A82" s="21">
        <v>81.0</v>
      </c>
      <c r="B82" s="5" t="s">
        <v>135</v>
      </c>
      <c r="C82" s="5">
        <v>46202.15902777778</v>
      </c>
    </row>
    <row r="83">
      <c r="A83" s="21">
        <v>82.0</v>
      </c>
      <c r="B83" s="5" t="s">
        <v>903</v>
      </c>
      <c r="C83" s="5" t="s">
        <v>903</v>
      </c>
    </row>
    <row r="84">
      <c r="A84" s="21">
        <v>83.0</v>
      </c>
      <c r="B84" s="5" t="s">
        <v>139</v>
      </c>
      <c r="C84" s="5">
        <v>46202.47430555556</v>
      </c>
    </row>
    <row r="85">
      <c r="A85" s="21">
        <v>84.0</v>
      </c>
      <c r="B85" s="5" t="s">
        <v>141</v>
      </c>
      <c r="C85" s="5">
        <v>46202.60555555556</v>
      </c>
    </row>
    <row r="86">
      <c r="A86" s="21">
        <v>85.0</v>
      </c>
      <c r="B86" s="5" t="s">
        <v>146</v>
      </c>
      <c r="C86" s="5">
        <v>46202.67222222222</v>
      </c>
    </row>
    <row r="87">
      <c r="A87" s="21">
        <v>86.0</v>
      </c>
      <c r="B87" s="5" t="s">
        <v>150</v>
      </c>
      <c r="C87" s="5">
        <v>46202.81666666667</v>
      </c>
    </row>
    <row r="88">
      <c r="A88" s="21">
        <v>87.0</v>
      </c>
      <c r="B88" s="5" t="s">
        <v>152</v>
      </c>
      <c r="C88" s="5">
        <v>46203.0625</v>
      </c>
    </row>
    <row r="89">
      <c r="A89" s="21">
        <v>88.0</v>
      </c>
      <c r="B89" s="5" t="s">
        <v>903</v>
      </c>
      <c r="C89" s="5" t="s">
        <v>903</v>
      </c>
    </row>
    <row r="90">
      <c r="A90" s="21">
        <v>89.0</v>
      </c>
      <c r="B90" s="5" t="s">
        <v>154</v>
      </c>
      <c r="C90" s="5">
        <v>46203.72638888889</v>
      </c>
    </row>
    <row r="91">
      <c r="A91" s="21">
        <v>90.0</v>
      </c>
      <c r="B91" s="5" t="s">
        <v>157</v>
      </c>
      <c r="C91" s="5">
        <v>46203.825</v>
      </c>
    </row>
    <row r="92">
      <c r="A92" s="21">
        <v>91.0</v>
      </c>
      <c r="B92" s="5" t="s">
        <v>903</v>
      </c>
      <c r="C92" s="5">
        <v>46203.88819444444</v>
      </c>
    </row>
    <row r="93">
      <c r="A93" s="21">
        <v>92.0</v>
      </c>
      <c r="B93" s="5" t="s">
        <v>159</v>
      </c>
      <c r="C93" s="5">
        <v>46204.58333333334</v>
      </c>
    </row>
    <row r="94">
      <c r="A94" s="21">
        <v>93.0</v>
      </c>
      <c r="B94" s="5" t="s">
        <v>161</v>
      </c>
      <c r="C94" s="5">
        <v>46204.59305555555</v>
      </c>
    </row>
    <row r="95">
      <c r="A95" s="21">
        <v>94.0</v>
      </c>
      <c r="B95" s="5" t="s">
        <v>164</v>
      </c>
      <c r="C95" s="5">
        <v>46204.70277777778</v>
      </c>
    </row>
    <row r="96">
      <c r="A96" s="21">
        <v>95.0</v>
      </c>
      <c r="B96" s="5" t="s">
        <v>903</v>
      </c>
      <c r="C96" s="5">
        <v>46204.73125</v>
      </c>
    </row>
    <row r="97">
      <c r="A97" s="21">
        <v>96.0</v>
      </c>
      <c r="B97" s="5" t="s">
        <v>903</v>
      </c>
      <c r="C97" s="5">
        <v>46205.04305555556</v>
      </c>
    </row>
    <row r="98">
      <c r="A98" s="21">
        <v>97.0</v>
      </c>
      <c r="B98" s="5" t="s">
        <v>903</v>
      </c>
      <c r="C98" s="5" t="s">
        <v>903</v>
      </c>
    </row>
    <row r="99">
      <c r="A99" s="21">
        <v>98.0</v>
      </c>
      <c r="B99" s="5" t="s">
        <v>166</v>
      </c>
      <c r="C99" s="5">
        <v>46205.06597222222</v>
      </c>
    </row>
    <row r="100">
      <c r="A100" s="21">
        <v>99.0</v>
      </c>
      <c r="B100" s="5" t="s">
        <v>903</v>
      </c>
      <c r="C100" s="5">
        <v>46205.77569444444</v>
      </c>
    </row>
    <row r="101">
      <c r="A101" s="21">
        <v>100.0</v>
      </c>
      <c r="B101" s="5" t="s">
        <v>168</v>
      </c>
      <c r="C101" s="5">
        <v>46206.02777777778</v>
      </c>
    </row>
    <row r="102">
      <c r="A102" s="21">
        <v>101.0</v>
      </c>
      <c r="B102" s="5" t="s">
        <v>903</v>
      </c>
      <c r="C102" s="5">
        <v>46206.33958333333</v>
      </c>
    </row>
    <row r="103">
      <c r="A103" s="21">
        <v>102.0</v>
      </c>
      <c r="B103" s="5" t="s">
        <v>171</v>
      </c>
      <c r="C103" s="5">
        <v>46206.47708333333</v>
      </c>
    </row>
    <row r="104">
      <c r="A104" s="21">
        <v>103.0</v>
      </c>
      <c r="B104" s="5" t="s">
        <v>173</v>
      </c>
      <c r="C104" s="5">
        <v>46206.61805555555</v>
      </c>
    </row>
    <row r="105">
      <c r="A105" s="21">
        <v>104.0</v>
      </c>
      <c r="B105" s="5" t="s">
        <v>178</v>
      </c>
      <c r="C105" s="5">
        <v>46206.82777777778</v>
      </c>
    </row>
    <row r="106">
      <c r="A106" s="21">
        <v>105.0</v>
      </c>
      <c r="B106" s="5" t="s">
        <v>903</v>
      </c>
      <c r="C106" s="5" t="s">
        <v>903</v>
      </c>
    </row>
    <row r="107">
      <c r="A107" s="21">
        <v>106.0</v>
      </c>
      <c r="B107" s="5" t="s">
        <v>180</v>
      </c>
      <c r="C107" s="5">
        <v>46206.87638888889</v>
      </c>
    </row>
    <row r="108">
      <c r="A108" s="21">
        <v>107.0</v>
      </c>
      <c r="B108" s="5" t="s">
        <v>903</v>
      </c>
      <c r="C108" s="5" t="s">
        <v>903</v>
      </c>
    </row>
    <row r="109">
      <c r="A109" s="21">
        <v>108.0</v>
      </c>
      <c r="B109" s="5" t="s">
        <v>185</v>
      </c>
      <c r="C109" s="5">
        <v>46207.59027777778</v>
      </c>
    </row>
    <row r="110">
      <c r="A110" s="21">
        <v>109.0</v>
      </c>
      <c r="B110" s="5" t="s">
        <v>903</v>
      </c>
      <c r="C110" s="5">
        <v>46207.60277777778</v>
      </c>
    </row>
    <row r="111">
      <c r="A111" s="21">
        <v>110.0</v>
      </c>
      <c r="B111" s="5" t="s">
        <v>187</v>
      </c>
      <c r="C111" s="5">
        <v>46207.60763888889</v>
      </c>
    </row>
    <row r="112">
      <c r="A112" s="21">
        <v>111.0</v>
      </c>
      <c r="B112" s="5" t="s">
        <v>903</v>
      </c>
      <c r="C112" s="5">
        <v>46207.61597222222</v>
      </c>
    </row>
    <row r="113">
      <c r="A113" s="21">
        <v>112.0</v>
      </c>
      <c r="B113" s="5" t="s">
        <v>190</v>
      </c>
      <c r="C113" s="5">
        <v>46207.79375</v>
      </c>
    </row>
    <row r="114">
      <c r="A114" s="21">
        <v>113.0</v>
      </c>
      <c r="B114" s="5" t="s">
        <v>903</v>
      </c>
      <c r="C114" s="5" t="s">
        <v>903</v>
      </c>
    </row>
    <row r="115">
      <c r="A115" s="21">
        <v>114.0</v>
      </c>
      <c r="B115" s="5" t="s">
        <v>192</v>
      </c>
      <c r="C115" s="5">
        <v>46207.90833333333</v>
      </c>
    </row>
    <row r="116">
      <c r="A116" s="21">
        <v>115.0</v>
      </c>
      <c r="B116" s="5" t="s">
        <v>195</v>
      </c>
      <c r="C116" s="5">
        <v>46207.94861111111</v>
      </c>
    </row>
    <row r="117">
      <c r="A117" s="21">
        <v>116.0</v>
      </c>
      <c r="B117" s="5" t="s">
        <v>903</v>
      </c>
      <c r="C117" s="5">
        <v>46207.98541666667</v>
      </c>
    </row>
    <row r="118">
      <c r="A118" s="21">
        <v>117.0</v>
      </c>
      <c r="B118" s="5" t="s">
        <v>903</v>
      </c>
      <c r="C118" s="5">
        <v>46208.14305555556</v>
      </c>
    </row>
    <row r="119">
      <c r="A119" s="21">
        <v>118.0</v>
      </c>
      <c r="B119" s="5" t="s">
        <v>200</v>
      </c>
      <c r="C119" s="5">
        <v>46208.16180555556</v>
      </c>
    </row>
    <row r="120">
      <c r="A120" s="21">
        <v>119.0</v>
      </c>
      <c r="B120" s="5" t="s">
        <v>203</v>
      </c>
      <c r="C120" s="5">
        <v>46208.55972222222</v>
      </c>
    </row>
    <row r="121">
      <c r="A121" s="21">
        <v>120.0</v>
      </c>
      <c r="B121" s="5" t="s">
        <v>903</v>
      </c>
      <c r="C121" s="5">
        <v>46208.57569444444</v>
      </c>
    </row>
    <row r="122">
      <c r="A122" s="21">
        <v>121.0</v>
      </c>
      <c r="B122" s="5" t="s">
        <v>208</v>
      </c>
      <c r="C122" s="5">
        <v>46208.59027777778</v>
      </c>
    </row>
    <row r="123">
      <c r="A123" s="21">
        <v>122.0</v>
      </c>
      <c r="B123" s="5" t="s">
        <v>210</v>
      </c>
      <c r="C123" s="5">
        <v>46208.60763888889</v>
      </c>
    </row>
    <row r="124">
      <c r="A124" s="21">
        <v>123.0</v>
      </c>
      <c r="B124" s="5" t="s">
        <v>212</v>
      </c>
      <c r="C124" s="5">
        <v>46208.64930555555</v>
      </c>
    </row>
    <row r="125">
      <c r="A125" s="21">
        <v>124.0</v>
      </c>
      <c r="B125" s="5" t="s">
        <v>903</v>
      </c>
      <c r="C125" s="5">
        <v>46208.67708333334</v>
      </c>
    </row>
    <row r="126">
      <c r="A126" s="21">
        <v>125.0</v>
      </c>
      <c r="B126" s="5" t="s">
        <v>903</v>
      </c>
      <c r="C126" s="5">
        <v>46208.68333333333</v>
      </c>
    </row>
    <row r="127">
      <c r="A127" s="21">
        <v>126.0</v>
      </c>
      <c r="B127" s="5" t="s">
        <v>903</v>
      </c>
      <c r="C127" s="5">
        <v>46208.69861111111</v>
      </c>
    </row>
    <row r="128">
      <c r="A128" s="21">
        <v>127.0</v>
      </c>
      <c r="B128" s="5" t="s">
        <v>214</v>
      </c>
      <c r="C128" s="5">
        <v>46208.69930555556</v>
      </c>
    </row>
    <row r="129">
      <c r="A129" s="21">
        <v>128.0</v>
      </c>
      <c r="B129" s="5" t="s">
        <v>903</v>
      </c>
      <c r="C129" s="5">
        <v>46208.70902777778</v>
      </c>
    </row>
    <row r="130">
      <c r="A130" s="21">
        <v>129.0</v>
      </c>
      <c r="B130" s="5" t="s">
        <v>216</v>
      </c>
      <c r="C130" s="5">
        <v>46208.71180555555</v>
      </c>
    </row>
    <row r="131">
      <c r="A131" s="21">
        <v>130.0</v>
      </c>
      <c r="B131" s="5" t="s">
        <v>218</v>
      </c>
      <c r="C131" s="5">
        <v>46208.72222222222</v>
      </c>
    </row>
    <row r="132">
      <c r="A132" s="21">
        <v>131.0</v>
      </c>
      <c r="B132" s="5" t="s">
        <v>903</v>
      </c>
      <c r="C132" s="5">
        <v>46208.75833333333</v>
      </c>
    </row>
    <row r="133">
      <c r="A133" s="21">
        <v>132.0</v>
      </c>
      <c r="B133" s="5" t="s">
        <v>221</v>
      </c>
      <c r="C133" s="5">
        <v>46208.76944444444</v>
      </c>
    </row>
    <row r="134">
      <c r="A134" s="21">
        <v>133.0</v>
      </c>
      <c r="B134" s="5" t="s">
        <v>224</v>
      </c>
      <c r="C134" s="5">
        <v>46208.78125</v>
      </c>
    </row>
    <row r="135">
      <c r="A135" s="21">
        <v>134.0</v>
      </c>
      <c r="B135" s="5" t="s">
        <v>226</v>
      </c>
      <c r="C135" s="5">
        <v>46208.80208333334</v>
      </c>
    </row>
    <row r="136">
      <c r="A136" s="21">
        <v>135.0</v>
      </c>
      <c r="B136" s="5" t="s">
        <v>903</v>
      </c>
      <c r="C136" s="5">
        <v>46208.81111111111</v>
      </c>
    </row>
    <row r="137">
      <c r="A137" s="21">
        <v>136.0</v>
      </c>
      <c r="B137" s="5" t="s">
        <v>233</v>
      </c>
      <c r="C137" s="5">
        <v>46208.82222222222</v>
      </c>
    </row>
    <row r="138">
      <c r="A138" s="21">
        <v>137.0</v>
      </c>
      <c r="B138" s="5" t="s">
        <v>235</v>
      </c>
      <c r="C138" s="5">
        <v>46208.82777777778</v>
      </c>
    </row>
    <row r="139">
      <c r="A139" s="21">
        <v>138.0</v>
      </c>
      <c r="B139" s="5" t="s">
        <v>237</v>
      </c>
      <c r="C139" s="5">
        <v>46208.83333333334</v>
      </c>
    </row>
    <row r="140">
      <c r="A140" s="21">
        <v>139.0</v>
      </c>
      <c r="B140" s="5" t="s">
        <v>247</v>
      </c>
      <c r="C140" s="5">
        <v>46208.83958333333</v>
      </c>
    </row>
    <row r="141">
      <c r="A141" s="21">
        <v>140.0</v>
      </c>
      <c r="B141" s="5" t="s">
        <v>903</v>
      </c>
      <c r="C141" s="5">
        <v>46208.84027777778</v>
      </c>
    </row>
    <row r="142">
      <c r="A142" s="21">
        <v>141.0</v>
      </c>
      <c r="B142" s="5" t="s">
        <v>249</v>
      </c>
      <c r="C142" s="5">
        <v>46208.85416666666</v>
      </c>
    </row>
    <row r="143">
      <c r="A143" s="21">
        <v>142.0</v>
      </c>
      <c r="B143" s="5" t="s">
        <v>251</v>
      </c>
      <c r="C143" s="5">
        <v>46208.86736111111</v>
      </c>
    </row>
    <row r="144">
      <c r="A144" s="21">
        <v>143.0</v>
      </c>
      <c r="B144" s="5" t="s">
        <v>255</v>
      </c>
      <c r="C144" s="5">
        <v>46208.875</v>
      </c>
    </row>
    <row r="145">
      <c r="A145" s="21">
        <v>144.0</v>
      </c>
      <c r="B145" s="5" t="s">
        <v>260</v>
      </c>
      <c r="C145" s="5">
        <v>46208.87847222222</v>
      </c>
    </row>
    <row r="146">
      <c r="A146" s="21">
        <v>145.0</v>
      </c>
      <c r="B146" s="5" t="s">
        <v>903</v>
      </c>
      <c r="C146" s="5">
        <v>46208.88194444445</v>
      </c>
    </row>
    <row r="147">
      <c r="A147" s="21">
        <v>146.0</v>
      </c>
      <c r="B147" s="5" t="s">
        <v>903</v>
      </c>
      <c r="C147" s="5">
        <v>46208.88819444444</v>
      </c>
    </row>
    <row r="148">
      <c r="A148" s="21">
        <v>147.0</v>
      </c>
      <c r="B148" s="5" t="s">
        <v>264</v>
      </c>
      <c r="C148" s="5">
        <v>46208.90138888889</v>
      </c>
    </row>
    <row r="149">
      <c r="A149" s="21">
        <v>148.0</v>
      </c>
      <c r="B149" s="5" t="s">
        <v>270</v>
      </c>
      <c r="C149" s="5">
        <v>46208.90763888889</v>
      </c>
    </row>
    <row r="150">
      <c r="A150" s="21">
        <v>149.0</v>
      </c>
      <c r="B150" s="5" t="s">
        <v>273</v>
      </c>
      <c r="C150" s="5">
        <v>46208.91944444444</v>
      </c>
    </row>
    <row r="151">
      <c r="A151" s="21">
        <v>150.0</v>
      </c>
      <c r="B151" s="5" t="s">
        <v>903</v>
      </c>
      <c r="C151" s="5" t="s">
        <v>903</v>
      </c>
    </row>
    <row r="152">
      <c r="A152" s="21">
        <v>151.0</v>
      </c>
      <c r="B152" s="5" t="s">
        <v>903</v>
      </c>
      <c r="C152" s="5">
        <v>46208.94375</v>
      </c>
    </row>
    <row r="153">
      <c r="A153" s="21">
        <v>152.0</v>
      </c>
      <c r="B153" s="5" t="s">
        <v>277</v>
      </c>
      <c r="C153" s="5">
        <v>46208.94861111111</v>
      </c>
    </row>
    <row r="154">
      <c r="A154" s="21">
        <v>153.0</v>
      </c>
      <c r="B154" s="5" t="s">
        <v>903</v>
      </c>
      <c r="C154" s="5" t="s">
        <v>903</v>
      </c>
    </row>
    <row r="155">
      <c r="A155" s="21">
        <v>154.0</v>
      </c>
      <c r="B155" s="5" t="s">
        <v>903</v>
      </c>
      <c r="C155" s="5" t="s">
        <v>903</v>
      </c>
    </row>
    <row r="156">
      <c r="A156" s="21">
        <v>155.0</v>
      </c>
      <c r="B156" s="5" t="s">
        <v>279</v>
      </c>
      <c r="C156" s="5">
        <v>46208.96527777778</v>
      </c>
    </row>
    <row r="157">
      <c r="A157" s="21">
        <v>156.0</v>
      </c>
      <c r="B157" s="5" t="s">
        <v>282</v>
      </c>
      <c r="C157" s="5">
        <v>46208.97013888889</v>
      </c>
    </row>
    <row r="158">
      <c r="A158" s="21">
        <v>157.0</v>
      </c>
      <c r="B158" s="5" t="s">
        <v>285</v>
      </c>
      <c r="C158" s="5">
        <v>46208.97361111111</v>
      </c>
    </row>
    <row r="159">
      <c r="A159" s="21">
        <v>158.0</v>
      </c>
      <c r="B159" s="5" t="s">
        <v>288</v>
      </c>
      <c r="C159" s="5">
        <v>46208.99861111111</v>
      </c>
    </row>
    <row r="160">
      <c r="A160" s="21">
        <v>159.0</v>
      </c>
      <c r="B160" s="5" t="s">
        <v>290</v>
      </c>
      <c r="C160" s="5">
        <v>46209.03472222222</v>
      </c>
    </row>
    <row r="161">
      <c r="A161" s="21">
        <v>160.0</v>
      </c>
      <c r="B161" s="5" t="s">
        <v>299</v>
      </c>
      <c r="C161" s="5">
        <v>46209.03611111111</v>
      </c>
    </row>
    <row r="162">
      <c r="A162" s="21">
        <v>161.0</v>
      </c>
      <c r="B162" s="5" t="s">
        <v>304</v>
      </c>
      <c r="C162" s="5">
        <v>46209.05972222222</v>
      </c>
    </row>
    <row r="163">
      <c r="A163" s="21">
        <v>162.0</v>
      </c>
      <c r="B163" s="5" t="s">
        <v>306</v>
      </c>
      <c r="C163" s="5">
        <v>46209.06388888889</v>
      </c>
    </row>
    <row r="164">
      <c r="A164" s="21">
        <v>163.0</v>
      </c>
      <c r="B164" s="5" t="s">
        <v>308</v>
      </c>
      <c r="C164" s="5">
        <v>46209.07083333333</v>
      </c>
    </row>
    <row r="165">
      <c r="A165" s="21">
        <v>164.0</v>
      </c>
      <c r="B165" s="5" t="s">
        <v>903</v>
      </c>
      <c r="C165" s="5" t="s">
        <v>903</v>
      </c>
    </row>
    <row r="166">
      <c r="A166" s="21">
        <v>165.0</v>
      </c>
      <c r="B166" s="5" t="s">
        <v>903</v>
      </c>
      <c r="C166" s="5">
        <v>46209.11180555556</v>
      </c>
    </row>
    <row r="167">
      <c r="A167" s="21">
        <v>166.0</v>
      </c>
      <c r="B167" s="5" t="s">
        <v>310</v>
      </c>
      <c r="C167" s="5">
        <v>46209.13125</v>
      </c>
    </row>
    <row r="168">
      <c r="A168" s="21">
        <v>167.0</v>
      </c>
      <c r="B168" s="5" t="s">
        <v>312</v>
      </c>
      <c r="C168" s="5">
        <v>46209.17361111111</v>
      </c>
    </row>
    <row r="169">
      <c r="A169" s="21">
        <v>168.0</v>
      </c>
      <c r="B169" s="5" t="s">
        <v>315</v>
      </c>
      <c r="C169" s="5">
        <v>46209.35833333333</v>
      </c>
    </row>
    <row r="170">
      <c r="A170" s="21">
        <v>169.0</v>
      </c>
      <c r="B170" s="5" t="s">
        <v>318</v>
      </c>
      <c r="C170" s="5">
        <v>46209.43402777778</v>
      </c>
    </row>
    <row r="171">
      <c r="A171" s="21">
        <v>170.0</v>
      </c>
      <c r="B171" s="5" t="s">
        <v>320</v>
      </c>
      <c r="C171" s="5">
        <v>46210.60972222222</v>
      </c>
    </row>
    <row r="172">
      <c r="A172" s="21">
        <v>171.0</v>
      </c>
      <c r="B172" s="5" t="s">
        <v>322</v>
      </c>
      <c r="C172" s="5">
        <v>46210.62916666667</v>
      </c>
    </row>
    <row r="173">
      <c r="A173" s="21">
        <v>172.0</v>
      </c>
      <c r="B173" s="5" t="s">
        <v>325</v>
      </c>
      <c r="C173" s="5">
        <v>46211.80416666667</v>
      </c>
    </row>
    <row r="174">
      <c r="A174" s="21">
        <v>173.0</v>
      </c>
      <c r="B174" s="5" t="s">
        <v>903</v>
      </c>
      <c r="C174" s="5" t="s">
        <v>903</v>
      </c>
    </row>
    <row r="175">
      <c r="A175" s="21">
        <v>174.0</v>
      </c>
      <c r="B175" s="5" t="s">
        <v>903</v>
      </c>
      <c r="C175" s="5">
        <v>46213.50694444445</v>
      </c>
    </row>
    <row r="176">
      <c r="A176" s="21">
        <v>175.0</v>
      </c>
      <c r="B176" s="5" t="s">
        <v>329</v>
      </c>
      <c r="C176" s="5">
        <v>46214.18958333333</v>
      </c>
    </row>
    <row r="177">
      <c r="A177" s="21">
        <v>176.0</v>
      </c>
      <c r="B177" s="5" t="s">
        <v>331</v>
      </c>
      <c r="C177" s="5">
        <v>46214.94166666667</v>
      </c>
    </row>
    <row r="178">
      <c r="A178" s="21">
        <v>177.0</v>
      </c>
      <c r="B178" s="5" t="s">
        <v>333</v>
      </c>
      <c r="C178" s="5">
        <v>46215.13194444445</v>
      </c>
    </row>
    <row r="179">
      <c r="A179" s="21">
        <v>178.0</v>
      </c>
      <c r="B179" s="5" t="s">
        <v>335</v>
      </c>
      <c r="C179" s="5">
        <v>46215.43263888889</v>
      </c>
    </row>
    <row r="180">
      <c r="A180" s="21">
        <v>179.0</v>
      </c>
      <c r="B180" s="5" t="s">
        <v>903</v>
      </c>
      <c r="C180" s="5" t="s">
        <v>903</v>
      </c>
    </row>
    <row r="181">
      <c r="A181" s="21">
        <v>180.0</v>
      </c>
      <c r="B181" s="5" t="s">
        <v>903</v>
      </c>
      <c r="C181" s="5" t="s">
        <v>903</v>
      </c>
    </row>
    <row r="182">
      <c r="A182" s="21">
        <v>181.0</v>
      </c>
      <c r="B182" s="5" t="s">
        <v>903</v>
      </c>
      <c r="C182" s="5">
        <v>46215.73194444444</v>
      </c>
    </row>
    <row r="183">
      <c r="A183" s="21">
        <v>182.0</v>
      </c>
      <c r="B183" s="5" t="s">
        <v>338</v>
      </c>
      <c r="C183" s="5">
        <v>46215.79166666666</v>
      </c>
    </row>
    <row r="184">
      <c r="A184" s="21">
        <v>183.0</v>
      </c>
      <c r="B184" s="5" t="s">
        <v>341</v>
      </c>
      <c r="C184" s="5">
        <v>46215.86875</v>
      </c>
    </row>
    <row r="185">
      <c r="A185" s="21">
        <v>184.0</v>
      </c>
      <c r="B185" s="5" t="s">
        <v>343</v>
      </c>
      <c r="C185" s="5">
        <v>46215.89583333334</v>
      </c>
    </row>
    <row r="186">
      <c r="A186" s="21">
        <v>185.0</v>
      </c>
      <c r="B186" s="5" t="s">
        <v>349</v>
      </c>
      <c r="C186" s="5">
        <v>46215.92986111111</v>
      </c>
    </row>
    <row r="187">
      <c r="A187" s="21">
        <v>186.0</v>
      </c>
      <c r="B187" s="5" t="s">
        <v>352</v>
      </c>
      <c r="C187" s="5">
        <v>46215.98958333334</v>
      </c>
    </row>
    <row r="188">
      <c r="A188" s="21">
        <v>187.0</v>
      </c>
      <c r="B188" s="5" t="s">
        <v>355</v>
      </c>
      <c r="C188" s="5">
        <v>46216.12291666667</v>
      </c>
    </row>
    <row r="189">
      <c r="A189" s="21">
        <v>188.0</v>
      </c>
      <c r="B189" s="5" t="s">
        <v>357</v>
      </c>
      <c r="C189" s="5">
        <v>46216.12847222222</v>
      </c>
    </row>
    <row r="190">
      <c r="A190" s="21">
        <v>189.0</v>
      </c>
      <c r="B190" s="5" t="s">
        <v>360</v>
      </c>
      <c r="C190" s="5">
        <v>46216.14652777778</v>
      </c>
    </row>
    <row r="191">
      <c r="A191" s="21">
        <v>190.0</v>
      </c>
      <c r="B191" s="5" t="s">
        <v>903</v>
      </c>
      <c r="C191" s="5" t="s">
        <v>903</v>
      </c>
    </row>
    <row r="192">
      <c r="A192" s="21">
        <v>191.0</v>
      </c>
      <c r="B192" s="5" t="s">
        <v>364</v>
      </c>
      <c r="C192" s="5">
        <v>46218.96388888889</v>
      </c>
    </row>
    <row r="193">
      <c r="A193" s="21">
        <v>192.0</v>
      </c>
      <c r="B193" s="5" t="s">
        <v>903</v>
      </c>
      <c r="C193" s="5">
        <v>46219.07291666666</v>
      </c>
    </row>
    <row r="194">
      <c r="A194" s="21">
        <v>193.0</v>
      </c>
      <c r="B194" s="5" t="s">
        <v>903</v>
      </c>
      <c r="C194" s="5">
        <v>46219.81041666667</v>
      </c>
    </row>
    <row r="195">
      <c r="A195" s="21">
        <v>194.0</v>
      </c>
      <c r="B195" s="5" t="s">
        <v>903</v>
      </c>
      <c r="C195" s="5" t="s">
        <v>903</v>
      </c>
    </row>
    <row r="196">
      <c r="A196" s="21">
        <v>195.0</v>
      </c>
      <c r="B196" s="5" t="s">
        <v>903</v>
      </c>
      <c r="C196" s="5" t="s">
        <v>903</v>
      </c>
    </row>
    <row r="197">
      <c r="A197" s="21">
        <v>196.0</v>
      </c>
      <c r="B197" s="5" t="s">
        <v>903</v>
      </c>
      <c r="C197" s="5" t="s">
        <v>903</v>
      </c>
    </row>
    <row r="198">
      <c r="A198" s="21">
        <v>197.0</v>
      </c>
      <c r="B198" s="5" t="s">
        <v>903</v>
      </c>
      <c r="C198" s="5" t="s">
        <v>903</v>
      </c>
    </row>
    <row r="199">
      <c r="A199" s="21">
        <v>198.0</v>
      </c>
      <c r="B199" s="5" t="s">
        <v>903</v>
      </c>
      <c r="C199" s="5" t="s">
        <v>903</v>
      </c>
    </row>
    <row r="200">
      <c r="A200" s="21">
        <v>199.0</v>
      </c>
      <c r="B200" s="5" t="s">
        <v>903</v>
      </c>
      <c r="C200" s="5" t="s">
        <v>903</v>
      </c>
    </row>
    <row r="201">
      <c r="A201" s="21">
        <v>200.0</v>
      </c>
      <c r="B201" s="5" t="s">
        <v>903</v>
      </c>
      <c r="C201" s="5" t="s">
        <v>903</v>
      </c>
    </row>
    <row r="202">
      <c r="C202" s="5" t="s">
        <v>903</v>
      </c>
    </row>
    <row r="203">
      <c r="C203" s="5" t="s">
        <v>903</v>
      </c>
    </row>
    <row r="204">
      <c r="C204" s="5" t="s">
        <v>903</v>
      </c>
    </row>
    <row r="205">
      <c r="C205" s="5" t="s">
        <v>903</v>
      </c>
    </row>
    <row r="206">
      <c r="C206" s="5" t="s">
        <v>903</v>
      </c>
    </row>
    <row r="207">
      <c r="C207" s="5" t="s">
        <v>903</v>
      </c>
    </row>
    <row r="208">
      <c r="C208" s="5" t="s">
        <v>903</v>
      </c>
    </row>
    <row r="209">
      <c r="C209" s="5" t="s">
        <v>903</v>
      </c>
    </row>
    <row r="210">
      <c r="C210" s="5" t="s">
        <v>903</v>
      </c>
    </row>
    <row r="211">
      <c r="C211" s="5" t="s">
        <v>903</v>
      </c>
    </row>
    <row r="212">
      <c r="C212" s="5" t="s">
        <v>903</v>
      </c>
    </row>
    <row r="213">
      <c r="C213" s="5" t="s">
        <v>903</v>
      </c>
    </row>
    <row r="214">
      <c r="C214" s="5" t="s">
        <v>903</v>
      </c>
    </row>
    <row r="215">
      <c r="C215" s="5" t="s">
        <v>903</v>
      </c>
    </row>
    <row r="216">
      <c r="C216" s="5" t="s">
        <v>903</v>
      </c>
    </row>
    <row r="217">
      <c r="C217" s="5" t="s">
        <v>903</v>
      </c>
    </row>
    <row r="218">
      <c r="C218" s="5" t="s">
        <v>903</v>
      </c>
    </row>
    <row r="219">
      <c r="C219" s="5" t="s">
        <v>903</v>
      </c>
    </row>
    <row r="220">
      <c r="C220" s="5" t="s">
        <v>903</v>
      </c>
    </row>
    <row r="221">
      <c r="C221" s="5" t="s">
        <v>903</v>
      </c>
    </row>
    <row r="222">
      <c r="C222" s="5" t="s">
        <v>903</v>
      </c>
    </row>
    <row r="223">
      <c r="C223" s="5" t="s">
        <v>903</v>
      </c>
    </row>
    <row r="224">
      <c r="C224" s="5" t="s">
        <v>903</v>
      </c>
    </row>
    <row r="225">
      <c r="C225" s="5" t="s">
        <v>903</v>
      </c>
    </row>
    <row r="226">
      <c r="C226" s="5" t="s">
        <v>903</v>
      </c>
    </row>
    <row r="227">
      <c r="C227" s="5" t="s">
        <v>903</v>
      </c>
    </row>
    <row r="228">
      <c r="C228" s="5" t="s">
        <v>903</v>
      </c>
    </row>
    <row r="229">
      <c r="C229" s="5" t="s">
        <v>903</v>
      </c>
    </row>
    <row r="230">
      <c r="C230" s="5" t="s">
        <v>903</v>
      </c>
    </row>
    <row r="231">
      <c r="C231" s="5" t="s">
        <v>903</v>
      </c>
    </row>
    <row r="232">
      <c r="C232" s="5" t="s">
        <v>903</v>
      </c>
    </row>
    <row r="233">
      <c r="C233" s="5" t="s">
        <v>903</v>
      </c>
    </row>
    <row r="234">
      <c r="C234" s="5" t="s">
        <v>903</v>
      </c>
    </row>
    <row r="235">
      <c r="C235" s="5" t="s">
        <v>903</v>
      </c>
    </row>
    <row r="236">
      <c r="C236" s="5" t="s">
        <v>903</v>
      </c>
    </row>
    <row r="237">
      <c r="C237" s="5" t="s">
        <v>903</v>
      </c>
    </row>
    <row r="238">
      <c r="C238" s="5" t="s">
        <v>903</v>
      </c>
    </row>
    <row r="239">
      <c r="C239" s="5" t="s">
        <v>903</v>
      </c>
    </row>
    <row r="240">
      <c r="C240" s="5" t="s">
        <v>903</v>
      </c>
    </row>
    <row r="241">
      <c r="C241" s="5" t="s">
        <v>903</v>
      </c>
    </row>
    <row r="242">
      <c r="C242" s="5" t="s">
        <v>903</v>
      </c>
    </row>
    <row r="243">
      <c r="C243" s="5" t="s">
        <v>903</v>
      </c>
    </row>
    <row r="244">
      <c r="C244" s="5" t="s">
        <v>903</v>
      </c>
    </row>
    <row r="245">
      <c r="C245" s="5" t="s">
        <v>903</v>
      </c>
    </row>
    <row r="246">
      <c r="C246" s="5" t="s">
        <v>903</v>
      </c>
    </row>
    <row r="247">
      <c r="C247" s="5" t="s">
        <v>903</v>
      </c>
    </row>
    <row r="248">
      <c r="C248" s="5" t="s">
        <v>903</v>
      </c>
    </row>
    <row r="249">
      <c r="C249" s="5" t="s">
        <v>903</v>
      </c>
    </row>
    <row r="250">
      <c r="C250" s="5" t="s">
        <v>903</v>
      </c>
    </row>
    <row r="251">
      <c r="C251" s="5" t="s">
        <v>903</v>
      </c>
    </row>
    <row r="252">
      <c r="C252" s="5" t="s">
        <v>903</v>
      </c>
    </row>
    <row r="253">
      <c r="C253" s="5" t="s">
        <v>903</v>
      </c>
    </row>
    <row r="254">
      <c r="C254" s="5" t="s">
        <v>903</v>
      </c>
    </row>
    <row r="255">
      <c r="C255" s="5" t="s">
        <v>903</v>
      </c>
    </row>
    <row r="256">
      <c r="C256" s="5" t="s">
        <v>903</v>
      </c>
    </row>
    <row r="257">
      <c r="C257" s="5" t="s">
        <v>903</v>
      </c>
    </row>
    <row r="258">
      <c r="C258" s="5" t="s">
        <v>903</v>
      </c>
    </row>
    <row r="259">
      <c r="C259" s="5" t="s">
        <v>903</v>
      </c>
    </row>
    <row r="260">
      <c r="C260" s="5" t="s">
        <v>903</v>
      </c>
    </row>
    <row r="261">
      <c r="C261" s="5" t="s">
        <v>903</v>
      </c>
    </row>
    <row r="262">
      <c r="C262" s="5" t="s">
        <v>903</v>
      </c>
    </row>
    <row r="263">
      <c r="C263" s="5" t="s">
        <v>903</v>
      </c>
    </row>
    <row r="264">
      <c r="C264" s="5" t="s">
        <v>903</v>
      </c>
    </row>
    <row r="265">
      <c r="C265" s="5" t="s">
        <v>903</v>
      </c>
    </row>
    <row r="266">
      <c r="C266" s="5" t="s">
        <v>903</v>
      </c>
    </row>
    <row r="267">
      <c r="C267" s="5" t="s">
        <v>903</v>
      </c>
    </row>
    <row r="268">
      <c r="C268" s="5" t="s">
        <v>903</v>
      </c>
    </row>
    <row r="269">
      <c r="C269" s="5" t="s">
        <v>903</v>
      </c>
    </row>
    <row r="270">
      <c r="C270" s="5" t="s">
        <v>903</v>
      </c>
    </row>
    <row r="271">
      <c r="C271" s="5" t="s">
        <v>903</v>
      </c>
    </row>
    <row r="272">
      <c r="C272" s="5" t="s">
        <v>903</v>
      </c>
    </row>
    <row r="273">
      <c r="C273" s="5" t="s">
        <v>903</v>
      </c>
    </row>
    <row r="274">
      <c r="C274" s="5" t="s">
        <v>903</v>
      </c>
    </row>
    <row r="275">
      <c r="C275" s="5" t="s">
        <v>903</v>
      </c>
    </row>
    <row r="276">
      <c r="C276" s="5" t="s">
        <v>903</v>
      </c>
    </row>
    <row r="277">
      <c r="C277" s="5" t="s">
        <v>903</v>
      </c>
    </row>
    <row r="278">
      <c r="C278" s="5" t="s">
        <v>903</v>
      </c>
    </row>
    <row r="279">
      <c r="C279" s="5" t="s">
        <v>903</v>
      </c>
    </row>
    <row r="280">
      <c r="C280" s="5" t="s">
        <v>903</v>
      </c>
    </row>
    <row r="281">
      <c r="C281" s="5" t="s">
        <v>903</v>
      </c>
    </row>
    <row r="282">
      <c r="C282" s="5" t="s">
        <v>903</v>
      </c>
    </row>
    <row r="283">
      <c r="C283" s="5" t="s">
        <v>903</v>
      </c>
    </row>
    <row r="284">
      <c r="C284" s="5" t="s">
        <v>903</v>
      </c>
    </row>
    <row r="285">
      <c r="C285" s="5" t="s">
        <v>903</v>
      </c>
    </row>
    <row r="286">
      <c r="C286" s="5" t="s">
        <v>903</v>
      </c>
    </row>
    <row r="287">
      <c r="C287" s="5" t="s">
        <v>903</v>
      </c>
    </row>
    <row r="288">
      <c r="C288" s="5" t="s">
        <v>903</v>
      </c>
    </row>
    <row r="289">
      <c r="C289" s="5" t="s">
        <v>903</v>
      </c>
    </row>
    <row r="290">
      <c r="C290" s="5" t="s">
        <v>903</v>
      </c>
    </row>
    <row r="291">
      <c r="C291" s="5" t="s">
        <v>903</v>
      </c>
    </row>
    <row r="292">
      <c r="C292" s="5" t="s">
        <v>903</v>
      </c>
    </row>
    <row r="293">
      <c r="C293" s="5" t="s">
        <v>903</v>
      </c>
    </row>
    <row r="294">
      <c r="C294" s="5" t="s">
        <v>903</v>
      </c>
    </row>
    <row r="295">
      <c r="C295" s="5" t="s">
        <v>903</v>
      </c>
    </row>
    <row r="296">
      <c r="C296" s="5" t="s">
        <v>903</v>
      </c>
    </row>
    <row r="297">
      <c r="C297" s="5" t="s">
        <v>903</v>
      </c>
    </row>
    <row r="298">
      <c r="C298" s="5" t="s">
        <v>903</v>
      </c>
    </row>
    <row r="299">
      <c r="C299" s="5" t="s">
        <v>903</v>
      </c>
    </row>
    <row r="300">
      <c r="C300" s="5" t="s">
        <v>903</v>
      </c>
    </row>
    <row r="301">
      <c r="C301" s="5" t="s">
        <v>903</v>
      </c>
    </row>
    <row r="302">
      <c r="C302" s="5" t="s">
        <v>903</v>
      </c>
    </row>
    <row r="303">
      <c r="C303" s="5" t="s">
        <v>903</v>
      </c>
    </row>
    <row r="304">
      <c r="C304" s="5" t="s">
        <v>903</v>
      </c>
    </row>
    <row r="305">
      <c r="C305" s="5" t="s">
        <v>903</v>
      </c>
    </row>
    <row r="306">
      <c r="C306" s="5" t="s">
        <v>903</v>
      </c>
    </row>
    <row r="307">
      <c r="C307" s="5" t="s">
        <v>903</v>
      </c>
    </row>
    <row r="308">
      <c r="C308" s="5" t="s">
        <v>903</v>
      </c>
    </row>
    <row r="309">
      <c r="C309" s="5" t="s">
        <v>903</v>
      </c>
    </row>
    <row r="310">
      <c r="C310" s="5" t="s">
        <v>903</v>
      </c>
    </row>
    <row r="311">
      <c r="C311" s="5" t="s">
        <v>903</v>
      </c>
    </row>
    <row r="312">
      <c r="C312" s="5" t="s">
        <v>903</v>
      </c>
    </row>
    <row r="313">
      <c r="C313" s="5" t="s">
        <v>903</v>
      </c>
    </row>
    <row r="314">
      <c r="C314" s="5" t="s">
        <v>903</v>
      </c>
    </row>
    <row r="315">
      <c r="C315" s="5" t="s">
        <v>903</v>
      </c>
    </row>
    <row r="316">
      <c r="C316" s="5" t="s">
        <v>903</v>
      </c>
    </row>
    <row r="317">
      <c r="C317" s="5" t="s">
        <v>903</v>
      </c>
    </row>
    <row r="318">
      <c r="C318" s="5" t="s">
        <v>903</v>
      </c>
    </row>
    <row r="319">
      <c r="C319" s="5" t="s">
        <v>903</v>
      </c>
    </row>
    <row r="320">
      <c r="C320" s="5" t="s">
        <v>903</v>
      </c>
    </row>
    <row r="321">
      <c r="C321" s="5" t="s">
        <v>903</v>
      </c>
    </row>
    <row r="322">
      <c r="C322" s="5" t="s">
        <v>903</v>
      </c>
    </row>
    <row r="323">
      <c r="C323" s="5" t="s">
        <v>903</v>
      </c>
    </row>
    <row r="324">
      <c r="C324" s="5" t="s">
        <v>903</v>
      </c>
    </row>
    <row r="325">
      <c r="C325" s="5" t="s">
        <v>903</v>
      </c>
    </row>
    <row r="326">
      <c r="C326" s="5" t="s">
        <v>903</v>
      </c>
    </row>
    <row r="327">
      <c r="C327" s="5" t="s">
        <v>903</v>
      </c>
    </row>
    <row r="328">
      <c r="C328" s="5" t="s">
        <v>903</v>
      </c>
    </row>
    <row r="329">
      <c r="C329" s="5" t="s">
        <v>903</v>
      </c>
    </row>
    <row r="330">
      <c r="C330" s="5" t="s">
        <v>903</v>
      </c>
    </row>
    <row r="331">
      <c r="C331" s="5" t="s">
        <v>903</v>
      </c>
    </row>
    <row r="332">
      <c r="C332" s="5" t="s">
        <v>903</v>
      </c>
    </row>
    <row r="333">
      <c r="C333" s="5" t="s">
        <v>903</v>
      </c>
    </row>
    <row r="334">
      <c r="C334" s="5" t="s">
        <v>903</v>
      </c>
    </row>
    <row r="335">
      <c r="C335" s="5" t="s">
        <v>903</v>
      </c>
    </row>
    <row r="336">
      <c r="C336" s="5" t="s">
        <v>903</v>
      </c>
    </row>
    <row r="337">
      <c r="C337" s="5" t="s">
        <v>903</v>
      </c>
    </row>
    <row r="338">
      <c r="C338" s="5" t="s">
        <v>903</v>
      </c>
    </row>
    <row r="339">
      <c r="C339" s="5" t="s">
        <v>903</v>
      </c>
    </row>
    <row r="340">
      <c r="C340" s="5" t="s">
        <v>903</v>
      </c>
    </row>
    <row r="341">
      <c r="C341" s="5" t="s">
        <v>903</v>
      </c>
    </row>
    <row r="342">
      <c r="C342" s="5" t="s">
        <v>903</v>
      </c>
    </row>
    <row r="343">
      <c r="C343" s="5" t="s">
        <v>903</v>
      </c>
    </row>
    <row r="344">
      <c r="C344" s="5" t="s">
        <v>903</v>
      </c>
    </row>
    <row r="345">
      <c r="C345" s="5" t="s">
        <v>903</v>
      </c>
    </row>
    <row r="346">
      <c r="C346" s="5" t="s">
        <v>903</v>
      </c>
    </row>
    <row r="347">
      <c r="C347" s="5" t="s">
        <v>903</v>
      </c>
    </row>
    <row r="348">
      <c r="C348" s="5" t="s">
        <v>903</v>
      </c>
    </row>
    <row r="349">
      <c r="C349" s="5" t="s">
        <v>903</v>
      </c>
    </row>
    <row r="350">
      <c r="C350" s="5" t="s">
        <v>903</v>
      </c>
    </row>
    <row r="351">
      <c r="C351" s="5" t="s">
        <v>903</v>
      </c>
    </row>
    <row r="352">
      <c r="C352" s="5" t="s">
        <v>903</v>
      </c>
    </row>
    <row r="353">
      <c r="C353" s="5" t="s">
        <v>903</v>
      </c>
    </row>
    <row r="354">
      <c r="C354" s="5" t="s">
        <v>903</v>
      </c>
    </row>
    <row r="355">
      <c r="C355" s="5" t="s">
        <v>903</v>
      </c>
    </row>
    <row r="356">
      <c r="C356" s="5" t="s">
        <v>903</v>
      </c>
    </row>
    <row r="357">
      <c r="C357" s="5" t="s">
        <v>903</v>
      </c>
    </row>
    <row r="358">
      <c r="C358" s="5" t="s">
        <v>903</v>
      </c>
    </row>
    <row r="359">
      <c r="C359" s="5" t="s">
        <v>903</v>
      </c>
    </row>
    <row r="360">
      <c r="C360" s="5" t="s">
        <v>903</v>
      </c>
    </row>
    <row r="361">
      <c r="C361" s="5" t="s">
        <v>903</v>
      </c>
    </row>
    <row r="362">
      <c r="C362" s="5" t="s">
        <v>903</v>
      </c>
    </row>
    <row r="363">
      <c r="C363" s="5" t="s">
        <v>903</v>
      </c>
    </row>
    <row r="364">
      <c r="C364" s="5" t="s">
        <v>903</v>
      </c>
    </row>
    <row r="365">
      <c r="C365" s="5" t="s">
        <v>903</v>
      </c>
    </row>
    <row r="366">
      <c r="C366" s="5" t="s">
        <v>903</v>
      </c>
    </row>
    <row r="367">
      <c r="C367" s="5" t="s">
        <v>903</v>
      </c>
    </row>
    <row r="368">
      <c r="C368" s="5" t="s">
        <v>903</v>
      </c>
    </row>
    <row r="369">
      <c r="C369" s="5" t="s">
        <v>903</v>
      </c>
    </row>
    <row r="370">
      <c r="C370" s="5" t="s">
        <v>903</v>
      </c>
    </row>
    <row r="371">
      <c r="C371" s="5" t="s">
        <v>903</v>
      </c>
    </row>
    <row r="372">
      <c r="C372" s="5" t="s">
        <v>903</v>
      </c>
    </row>
    <row r="373">
      <c r="C373" s="5" t="s">
        <v>903</v>
      </c>
    </row>
    <row r="374">
      <c r="C374" s="5" t="s">
        <v>903</v>
      </c>
    </row>
    <row r="375">
      <c r="C375" s="5" t="s">
        <v>903</v>
      </c>
    </row>
    <row r="376">
      <c r="C376" s="5" t="s">
        <v>903</v>
      </c>
    </row>
    <row r="377">
      <c r="C377" s="5" t="s">
        <v>903</v>
      </c>
    </row>
    <row r="378">
      <c r="C378" s="5" t="s">
        <v>903</v>
      </c>
    </row>
    <row r="379">
      <c r="C379" s="5" t="s">
        <v>903</v>
      </c>
    </row>
    <row r="380">
      <c r="C380" s="5" t="s">
        <v>903</v>
      </c>
    </row>
    <row r="381">
      <c r="C381" s="5" t="s">
        <v>903</v>
      </c>
    </row>
    <row r="382">
      <c r="C382" s="5" t="s">
        <v>903</v>
      </c>
    </row>
    <row r="383">
      <c r="C383" s="5" t="s">
        <v>903</v>
      </c>
    </row>
    <row r="384">
      <c r="C384" s="5" t="s">
        <v>903</v>
      </c>
    </row>
    <row r="385">
      <c r="C385" s="5" t="s">
        <v>903</v>
      </c>
    </row>
    <row r="386">
      <c r="C386" s="5" t="s">
        <v>903</v>
      </c>
    </row>
    <row r="387">
      <c r="C387" s="5" t="s">
        <v>903</v>
      </c>
    </row>
    <row r="388">
      <c r="C388" s="5" t="s">
        <v>903</v>
      </c>
    </row>
    <row r="389">
      <c r="C389" s="5" t="s">
        <v>903</v>
      </c>
    </row>
    <row r="390">
      <c r="C390" s="5" t="s">
        <v>903</v>
      </c>
    </row>
    <row r="391">
      <c r="C391" s="5" t="s">
        <v>903</v>
      </c>
    </row>
    <row r="392">
      <c r="C392" s="5" t="s">
        <v>903</v>
      </c>
    </row>
    <row r="393">
      <c r="C393" s="5" t="s">
        <v>903</v>
      </c>
    </row>
    <row r="394">
      <c r="C394" s="5" t="s">
        <v>903</v>
      </c>
    </row>
    <row r="395">
      <c r="C395" s="5" t="s">
        <v>903</v>
      </c>
    </row>
    <row r="396">
      <c r="C396" s="5" t="s">
        <v>903</v>
      </c>
    </row>
    <row r="397">
      <c r="C397" s="5" t="s">
        <v>903</v>
      </c>
    </row>
    <row r="398">
      <c r="C398" s="5" t="s">
        <v>903</v>
      </c>
    </row>
    <row r="399">
      <c r="C399" s="5" t="s">
        <v>903</v>
      </c>
    </row>
    <row r="400">
      <c r="C400" s="5" t="s">
        <v>903</v>
      </c>
    </row>
    <row r="401">
      <c r="C401" s="5" t="s">
        <v>903</v>
      </c>
    </row>
    <row r="402">
      <c r="C402" s="5" t="s">
        <v>903</v>
      </c>
    </row>
    <row r="403">
      <c r="C403" s="5" t="s">
        <v>903</v>
      </c>
    </row>
    <row r="404">
      <c r="C404" s="5" t="s">
        <v>903</v>
      </c>
    </row>
    <row r="405">
      <c r="C405" s="5" t="s">
        <v>903</v>
      </c>
    </row>
    <row r="406">
      <c r="C406" s="5" t="s">
        <v>903</v>
      </c>
    </row>
    <row r="407">
      <c r="C407" s="5" t="s">
        <v>903</v>
      </c>
    </row>
    <row r="408">
      <c r="C408" s="5" t="s">
        <v>903</v>
      </c>
    </row>
    <row r="409">
      <c r="C409" s="5" t="s">
        <v>903</v>
      </c>
    </row>
    <row r="410">
      <c r="C410" s="5" t="s">
        <v>903</v>
      </c>
    </row>
    <row r="411">
      <c r="C411" s="5" t="s">
        <v>903</v>
      </c>
    </row>
    <row r="412">
      <c r="C412" s="5" t="s">
        <v>903</v>
      </c>
    </row>
    <row r="413">
      <c r="C413" s="5" t="s">
        <v>903</v>
      </c>
    </row>
    <row r="414">
      <c r="C414" s="5" t="s">
        <v>903</v>
      </c>
    </row>
    <row r="415">
      <c r="C415" s="5" t="s">
        <v>903</v>
      </c>
    </row>
    <row r="416">
      <c r="C416" s="5" t="s">
        <v>903</v>
      </c>
    </row>
    <row r="417">
      <c r="C417" s="5" t="s">
        <v>903</v>
      </c>
    </row>
    <row r="418">
      <c r="C418" s="5" t="s">
        <v>903</v>
      </c>
    </row>
    <row r="419">
      <c r="C419" s="5" t="s">
        <v>903</v>
      </c>
    </row>
    <row r="420">
      <c r="C420" s="5" t="s">
        <v>903</v>
      </c>
    </row>
    <row r="421">
      <c r="C421" s="5" t="s">
        <v>903</v>
      </c>
    </row>
    <row r="422">
      <c r="C422" s="5" t="s">
        <v>903</v>
      </c>
    </row>
    <row r="423">
      <c r="C423" s="5" t="s">
        <v>903</v>
      </c>
    </row>
    <row r="424">
      <c r="C424" s="5" t="s">
        <v>903</v>
      </c>
    </row>
    <row r="425">
      <c r="C425" s="5" t="s">
        <v>903</v>
      </c>
    </row>
    <row r="426">
      <c r="C426" s="5" t="s">
        <v>903</v>
      </c>
    </row>
    <row r="427">
      <c r="C427" s="5" t="s">
        <v>903</v>
      </c>
    </row>
    <row r="428">
      <c r="C428" s="5" t="s">
        <v>903</v>
      </c>
    </row>
    <row r="429">
      <c r="C429" s="5" t="s">
        <v>903</v>
      </c>
    </row>
    <row r="430">
      <c r="C430" s="5" t="s">
        <v>903</v>
      </c>
    </row>
    <row r="431">
      <c r="C431" s="5" t="s">
        <v>903</v>
      </c>
    </row>
    <row r="432">
      <c r="C432" s="5" t="s">
        <v>903</v>
      </c>
    </row>
    <row r="433">
      <c r="C433" s="5" t="s">
        <v>903</v>
      </c>
    </row>
    <row r="434">
      <c r="C434" s="5" t="s">
        <v>903</v>
      </c>
    </row>
    <row r="435">
      <c r="C435" s="5" t="s">
        <v>903</v>
      </c>
    </row>
    <row r="436">
      <c r="C436" s="5" t="s">
        <v>903</v>
      </c>
    </row>
    <row r="437">
      <c r="C437" s="5" t="s">
        <v>903</v>
      </c>
    </row>
    <row r="438">
      <c r="C438" s="5" t="s">
        <v>903</v>
      </c>
    </row>
    <row r="439">
      <c r="C439" s="5" t="s">
        <v>903</v>
      </c>
    </row>
    <row r="440">
      <c r="C440" s="5" t="s">
        <v>903</v>
      </c>
    </row>
    <row r="441">
      <c r="C441" s="5" t="s">
        <v>903</v>
      </c>
    </row>
    <row r="442">
      <c r="C442" s="5" t="s">
        <v>903</v>
      </c>
    </row>
    <row r="443">
      <c r="C443" s="5" t="s">
        <v>903</v>
      </c>
    </row>
    <row r="444">
      <c r="C444" s="5" t="s">
        <v>903</v>
      </c>
    </row>
    <row r="445">
      <c r="C445" s="5" t="s">
        <v>903</v>
      </c>
    </row>
    <row r="446">
      <c r="C446" s="5" t="s">
        <v>903</v>
      </c>
    </row>
    <row r="447">
      <c r="C447" s="5" t="s">
        <v>903</v>
      </c>
    </row>
    <row r="448">
      <c r="C448" s="5" t="s">
        <v>903</v>
      </c>
    </row>
    <row r="449">
      <c r="C449" s="5" t="s">
        <v>903</v>
      </c>
    </row>
    <row r="450">
      <c r="C450" s="5" t="s">
        <v>903</v>
      </c>
    </row>
    <row r="451">
      <c r="C451" s="5" t="s">
        <v>903</v>
      </c>
    </row>
    <row r="452">
      <c r="C452" s="5" t="s">
        <v>903</v>
      </c>
    </row>
    <row r="453">
      <c r="C453" s="5" t="s">
        <v>903</v>
      </c>
    </row>
    <row r="454">
      <c r="C454" s="5" t="s">
        <v>903</v>
      </c>
    </row>
    <row r="455">
      <c r="C455" s="5" t="s">
        <v>903</v>
      </c>
    </row>
    <row r="456">
      <c r="C456" s="5" t="s">
        <v>903</v>
      </c>
    </row>
    <row r="457">
      <c r="C457" s="5" t="s">
        <v>903</v>
      </c>
    </row>
    <row r="458">
      <c r="C458" s="5" t="s">
        <v>903</v>
      </c>
    </row>
    <row r="459">
      <c r="C459" s="5" t="s">
        <v>903</v>
      </c>
    </row>
    <row r="460">
      <c r="C460" s="5" t="s">
        <v>903</v>
      </c>
    </row>
    <row r="461">
      <c r="C461" s="5" t="s">
        <v>903</v>
      </c>
    </row>
    <row r="462">
      <c r="C462" s="5" t="s">
        <v>903</v>
      </c>
    </row>
    <row r="463">
      <c r="C463" s="5" t="s">
        <v>903</v>
      </c>
    </row>
    <row r="464">
      <c r="C464" s="5" t="s">
        <v>903</v>
      </c>
    </row>
    <row r="465">
      <c r="C465" s="5" t="s">
        <v>903</v>
      </c>
    </row>
    <row r="466">
      <c r="C466" s="5" t="s">
        <v>903</v>
      </c>
    </row>
    <row r="467">
      <c r="C467" s="5" t="s">
        <v>903</v>
      </c>
    </row>
    <row r="468">
      <c r="C468" s="5" t="s">
        <v>903</v>
      </c>
    </row>
    <row r="469">
      <c r="C469" s="5" t="s">
        <v>903</v>
      </c>
    </row>
    <row r="470">
      <c r="C470" s="5" t="s">
        <v>903</v>
      </c>
    </row>
    <row r="471">
      <c r="C471" s="5" t="s">
        <v>903</v>
      </c>
    </row>
    <row r="472">
      <c r="C472" s="5" t="s">
        <v>903</v>
      </c>
    </row>
    <row r="473">
      <c r="C473" s="5" t="s">
        <v>903</v>
      </c>
    </row>
    <row r="474">
      <c r="C474" s="5" t="s">
        <v>903</v>
      </c>
    </row>
    <row r="475">
      <c r="C475" s="5" t="s">
        <v>903</v>
      </c>
    </row>
    <row r="476">
      <c r="C476" s="5" t="s">
        <v>903</v>
      </c>
    </row>
    <row r="477">
      <c r="C477" s="5" t="s">
        <v>903</v>
      </c>
    </row>
    <row r="478">
      <c r="C478" s="5" t="s">
        <v>903</v>
      </c>
    </row>
    <row r="479">
      <c r="C479" s="5" t="s">
        <v>903</v>
      </c>
    </row>
    <row r="480">
      <c r="C480" s="5" t="s">
        <v>903</v>
      </c>
    </row>
    <row r="481">
      <c r="C481" s="5" t="s">
        <v>903</v>
      </c>
    </row>
    <row r="482">
      <c r="C482" s="5" t="s">
        <v>903</v>
      </c>
    </row>
    <row r="483">
      <c r="C483" s="5" t="s">
        <v>903</v>
      </c>
    </row>
    <row r="484">
      <c r="C484" s="5" t="s">
        <v>903</v>
      </c>
    </row>
    <row r="485">
      <c r="C485" s="5" t="s">
        <v>903</v>
      </c>
    </row>
    <row r="486">
      <c r="C486" s="5" t="s">
        <v>903</v>
      </c>
    </row>
    <row r="487">
      <c r="C487" s="5" t="s">
        <v>903</v>
      </c>
    </row>
    <row r="488">
      <c r="C488" s="5" t="s">
        <v>903</v>
      </c>
    </row>
    <row r="489">
      <c r="C489" s="5" t="s">
        <v>903</v>
      </c>
    </row>
    <row r="490">
      <c r="C490" s="5" t="s">
        <v>903</v>
      </c>
    </row>
    <row r="491">
      <c r="C491" s="5" t="s">
        <v>903</v>
      </c>
    </row>
    <row r="492">
      <c r="C492" s="5" t="s">
        <v>903</v>
      </c>
    </row>
    <row r="493">
      <c r="C493" s="5" t="s">
        <v>903</v>
      </c>
    </row>
    <row r="494">
      <c r="C494" s="5" t="s">
        <v>903</v>
      </c>
    </row>
    <row r="495">
      <c r="C495" s="5" t="s">
        <v>903</v>
      </c>
    </row>
    <row r="496">
      <c r="C496" s="5" t="s">
        <v>903</v>
      </c>
    </row>
    <row r="497">
      <c r="C497" s="5" t="s">
        <v>903</v>
      </c>
    </row>
    <row r="498">
      <c r="C498" s="5" t="s">
        <v>903</v>
      </c>
    </row>
    <row r="499">
      <c r="C499" s="5" t="s">
        <v>903</v>
      </c>
    </row>
    <row r="500">
      <c r="C500" s="5" t="s">
        <v>903</v>
      </c>
    </row>
    <row r="501">
      <c r="C501" s="5" t="s">
        <v>903</v>
      </c>
    </row>
    <row r="502">
      <c r="C502" s="5" t="s">
        <v>903</v>
      </c>
    </row>
    <row r="503">
      <c r="C503" s="5" t="s">
        <v>903</v>
      </c>
    </row>
    <row r="504">
      <c r="C504" s="5" t="s">
        <v>903</v>
      </c>
    </row>
    <row r="505">
      <c r="C505" s="5" t="s">
        <v>903</v>
      </c>
    </row>
    <row r="506">
      <c r="C506" s="5" t="s">
        <v>903</v>
      </c>
    </row>
    <row r="507">
      <c r="C507" s="5" t="s">
        <v>903</v>
      </c>
    </row>
    <row r="508">
      <c r="C508" s="5" t="s">
        <v>903</v>
      </c>
    </row>
    <row r="509">
      <c r="C509" s="5" t="s">
        <v>903</v>
      </c>
    </row>
    <row r="510">
      <c r="C510" s="5" t="s">
        <v>903</v>
      </c>
    </row>
    <row r="511">
      <c r="C511" s="5" t="s">
        <v>903</v>
      </c>
    </row>
    <row r="512">
      <c r="C512" s="5" t="s">
        <v>903</v>
      </c>
    </row>
    <row r="513">
      <c r="C513" s="5" t="s">
        <v>903</v>
      </c>
    </row>
    <row r="514">
      <c r="C514" s="5" t="s">
        <v>903</v>
      </c>
    </row>
    <row r="515">
      <c r="C515" s="5" t="s">
        <v>903</v>
      </c>
    </row>
    <row r="516">
      <c r="C516" s="5" t="s">
        <v>903</v>
      </c>
    </row>
    <row r="517">
      <c r="C517" s="5" t="s">
        <v>903</v>
      </c>
    </row>
    <row r="518">
      <c r="C518" s="5" t="s">
        <v>903</v>
      </c>
    </row>
    <row r="519">
      <c r="C519" s="5" t="s">
        <v>903</v>
      </c>
    </row>
    <row r="520">
      <c r="C520" s="5" t="s">
        <v>903</v>
      </c>
    </row>
    <row r="521">
      <c r="C521" s="5" t="s">
        <v>903</v>
      </c>
    </row>
    <row r="522">
      <c r="C522" s="5" t="s">
        <v>903</v>
      </c>
    </row>
    <row r="523">
      <c r="C523" s="5" t="s">
        <v>903</v>
      </c>
    </row>
    <row r="524">
      <c r="C524" s="5" t="s">
        <v>903</v>
      </c>
    </row>
    <row r="525">
      <c r="C525" s="5" t="s">
        <v>903</v>
      </c>
    </row>
    <row r="526">
      <c r="C526" s="5" t="s">
        <v>903</v>
      </c>
    </row>
    <row r="527">
      <c r="C527" s="5" t="s">
        <v>903</v>
      </c>
    </row>
    <row r="528">
      <c r="C528" s="5" t="s">
        <v>903</v>
      </c>
    </row>
    <row r="529">
      <c r="C529" s="5" t="s">
        <v>903</v>
      </c>
    </row>
    <row r="530">
      <c r="C530" s="5" t="s">
        <v>903</v>
      </c>
    </row>
    <row r="531">
      <c r="C531" s="5" t="s">
        <v>903</v>
      </c>
    </row>
    <row r="532">
      <c r="C532" s="5" t="s">
        <v>903</v>
      </c>
    </row>
    <row r="533">
      <c r="C533" s="5" t="s">
        <v>903</v>
      </c>
    </row>
    <row r="534">
      <c r="C534" s="5" t="s">
        <v>903</v>
      </c>
    </row>
    <row r="535">
      <c r="C535" s="5" t="s">
        <v>903</v>
      </c>
    </row>
    <row r="536">
      <c r="C536" s="5" t="s">
        <v>903</v>
      </c>
    </row>
    <row r="537">
      <c r="C537" s="5" t="s">
        <v>903</v>
      </c>
    </row>
    <row r="538">
      <c r="C538" s="5" t="s">
        <v>903</v>
      </c>
    </row>
    <row r="539">
      <c r="C539" s="5" t="s">
        <v>903</v>
      </c>
    </row>
    <row r="540">
      <c r="C540" s="5" t="s">
        <v>903</v>
      </c>
    </row>
    <row r="541">
      <c r="C541" s="5" t="s">
        <v>903</v>
      </c>
    </row>
    <row r="542">
      <c r="C542" s="5" t="s">
        <v>903</v>
      </c>
    </row>
    <row r="543">
      <c r="C543" s="5" t="s">
        <v>903</v>
      </c>
    </row>
    <row r="544">
      <c r="C544" s="5" t="s">
        <v>903</v>
      </c>
    </row>
    <row r="545">
      <c r="C545" s="5" t="s">
        <v>903</v>
      </c>
    </row>
    <row r="546">
      <c r="C546" s="5" t="s">
        <v>903</v>
      </c>
    </row>
    <row r="547">
      <c r="C547" s="5" t="s">
        <v>903</v>
      </c>
    </row>
    <row r="548">
      <c r="C548" s="5" t="s">
        <v>903</v>
      </c>
    </row>
    <row r="549">
      <c r="C549" s="5" t="s">
        <v>903</v>
      </c>
    </row>
    <row r="550">
      <c r="C550" s="5" t="s">
        <v>903</v>
      </c>
    </row>
    <row r="551">
      <c r="C551" s="5" t="s">
        <v>903</v>
      </c>
    </row>
    <row r="552">
      <c r="C552" s="5" t="s">
        <v>903</v>
      </c>
    </row>
    <row r="553">
      <c r="C553" s="5" t="s">
        <v>903</v>
      </c>
    </row>
    <row r="554">
      <c r="C554" s="5" t="s">
        <v>903</v>
      </c>
    </row>
    <row r="555">
      <c r="C555" s="5" t="s">
        <v>903</v>
      </c>
    </row>
    <row r="556">
      <c r="C556" s="5" t="s">
        <v>903</v>
      </c>
    </row>
    <row r="557">
      <c r="C557" s="5" t="s">
        <v>903</v>
      </c>
    </row>
    <row r="558">
      <c r="C558" s="5" t="s">
        <v>903</v>
      </c>
    </row>
    <row r="559">
      <c r="C559" s="5" t="s">
        <v>903</v>
      </c>
    </row>
    <row r="560">
      <c r="C560" s="5" t="s">
        <v>903</v>
      </c>
    </row>
    <row r="561">
      <c r="C561" s="5" t="s">
        <v>903</v>
      </c>
    </row>
    <row r="562">
      <c r="C562" s="5" t="s">
        <v>903</v>
      </c>
    </row>
    <row r="563">
      <c r="C563" s="5" t="s">
        <v>903</v>
      </c>
    </row>
    <row r="564">
      <c r="C564" s="5" t="s">
        <v>903</v>
      </c>
    </row>
    <row r="565">
      <c r="C565" s="5" t="s">
        <v>903</v>
      </c>
    </row>
    <row r="566">
      <c r="C566" s="5" t="s">
        <v>903</v>
      </c>
    </row>
    <row r="567">
      <c r="C567" s="5" t="s">
        <v>903</v>
      </c>
    </row>
    <row r="568">
      <c r="C568" s="5" t="s">
        <v>903</v>
      </c>
    </row>
    <row r="569">
      <c r="C569" s="5" t="s">
        <v>903</v>
      </c>
    </row>
    <row r="570">
      <c r="C570" s="5" t="s">
        <v>903</v>
      </c>
    </row>
    <row r="571">
      <c r="C571" s="5" t="s">
        <v>903</v>
      </c>
    </row>
    <row r="572">
      <c r="C572" s="5" t="s">
        <v>903</v>
      </c>
    </row>
    <row r="573">
      <c r="C573" s="5" t="s">
        <v>903</v>
      </c>
    </row>
    <row r="574">
      <c r="C574" s="5" t="s">
        <v>903</v>
      </c>
    </row>
    <row r="575">
      <c r="C575" s="5" t="s">
        <v>903</v>
      </c>
    </row>
    <row r="576">
      <c r="C576" s="5" t="s">
        <v>903</v>
      </c>
    </row>
    <row r="577">
      <c r="C577" s="5" t="s">
        <v>903</v>
      </c>
    </row>
    <row r="578">
      <c r="C578" s="5" t="s">
        <v>903</v>
      </c>
    </row>
    <row r="579">
      <c r="C579" s="5" t="s">
        <v>903</v>
      </c>
    </row>
    <row r="580">
      <c r="C580" s="5" t="s">
        <v>903</v>
      </c>
    </row>
    <row r="581">
      <c r="C581" s="5" t="s">
        <v>903</v>
      </c>
    </row>
    <row r="582">
      <c r="C582" s="5" t="s">
        <v>903</v>
      </c>
    </row>
    <row r="583">
      <c r="C583" s="5" t="s">
        <v>903</v>
      </c>
    </row>
    <row r="584">
      <c r="C584" s="5" t="s">
        <v>903</v>
      </c>
    </row>
    <row r="585">
      <c r="C585" s="5" t="s">
        <v>903</v>
      </c>
    </row>
    <row r="586">
      <c r="C586" s="5" t="s">
        <v>903</v>
      </c>
    </row>
    <row r="587">
      <c r="C587" s="5" t="s">
        <v>903</v>
      </c>
    </row>
    <row r="588">
      <c r="C588" s="5" t="s">
        <v>903</v>
      </c>
    </row>
    <row r="589">
      <c r="C589" s="5" t="s">
        <v>903</v>
      </c>
    </row>
    <row r="590">
      <c r="C590" s="5" t="s">
        <v>903</v>
      </c>
    </row>
    <row r="591">
      <c r="C591" s="5" t="s">
        <v>903</v>
      </c>
    </row>
    <row r="592">
      <c r="C592" s="5" t="s">
        <v>903</v>
      </c>
    </row>
    <row r="593">
      <c r="C593" s="5" t="s">
        <v>903</v>
      </c>
    </row>
    <row r="594">
      <c r="C594" s="5" t="s">
        <v>903</v>
      </c>
    </row>
    <row r="595">
      <c r="C595" s="5" t="s">
        <v>903</v>
      </c>
    </row>
    <row r="596">
      <c r="C596" s="5" t="s">
        <v>903</v>
      </c>
    </row>
    <row r="597">
      <c r="C597" s="5" t="s">
        <v>903</v>
      </c>
    </row>
    <row r="598">
      <c r="C598" s="5" t="s">
        <v>903</v>
      </c>
    </row>
    <row r="599">
      <c r="C599" s="5" t="s">
        <v>903</v>
      </c>
    </row>
    <row r="600">
      <c r="C600" s="5" t="s">
        <v>903</v>
      </c>
    </row>
    <row r="601">
      <c r="C601" s="5" t="s">
        <v>903</v>
      </c>
    </row>
    <row r="602">
      <c r="C602" s="5" t="s">
        <v>903</v>
      </c>
    </row>
    <row r="603">
      <c r="C603" s="5" t="s">
        <v>903</v>
      </c>
    </row>
    <row r="604">
      <c r="C604" s="5" t="s">
        <v>903</v>
      </c>
    </row>
    <row r="605">
      <c r="C605" s="5" t="s">
        <v>903</v>
      </c>
    </row>
    <row r="606">
      <c r="C606" s="5" t="s">
        <v>903</v>
      </c>
    </row>
    <row r="607">
      <c r="C607" s="5" t="s">
        <v>903</v>
      </c>
    </row>
    <row r="608">
      <c r="C608" s="5" t="s">
        <v>903</v>
      </c>
    </row>
    <row r="609">
      <c r="C609" s="5" t="s">
        <v>903</v>
      </c>
    </row>
    <row r="610">
      <c r="C610" s="5" t="s">
        <v>903</v>
      </c>
    </row>
    <row r="611">
      <c r="C611" s="5" t="s">
        <v>903</v>
      </c>
    </row>
    <row r="612">
      <c r="C612" s="5" t="s">
        <v>903</v>
      </c>
    </row>
    <row r="613">
      <c r="C613" s="5" t="s">
        <v>903</v>
      </c>
    </row>
    <row r="614">
      <c r="C614" s="5" t="s">
        <v>903</v>
      </c>
    </row>
    <row r="615">
      <c r="C615" s="5" t="s">
        <v>903</v>
      </c>
    </row>
    <row r="616">
      <c r="C616" s="5" t="s">
        <v>903</v>
      </c>
    </row>
    <row r="617">
      <c r="C617" s="5" t="s">
        <v>903</v>
      </c>
    </row>
    <row r="618">
      <c r="C618" s="5" t="s">
        <v>903</v>
      </c>
    </row>
    <row r="619">
      <c r="C619" s="5" t="s">
        <v>903</v>
      </c>
    </row>
    <row r="620">
      <c r="C620" s="5" t="s">
        <v>903</v>
      </c>
    </row>
    <row r="621">
      <c r="C621" s="5" t="s">
        <v>903</v>
      </c>
    </row>
    <row r="622">
      <c r="C622" s="5" t="s">
        <v>903</v>
      </c>
    </row>
    <row r="623">
      <c r="C623" s="5" t="s">
        <v>903</v>
      </c>
    </row>
    <row r="624">
      <c r="C624" s="5" t="s">
        <v>903</v>
      </c>
    </row>
    <row r="625">
      <c r="C625" s="5" t="s">
        <v>903</v>
      </c>
    </row>
    <row r="626">
      <c r="C626" s="5" t="s">
        <v>903</v>
      </c>
    </row>
    <row r="627">
      <c r="C627" s="5" t="s">
        <v>903</v>
      </c>
    </row>
    <row r="628">
      <c r="C628" s="5" t="s">
        <v>903</v>
      </c>
    </row>
    <row r="629">
      <c r="C629" s="5" t="s">
        <v>903</v>
      </c>
    </row>
    <row r="630">
      <c r="C630" s="5" t="s">
        <v>903</v>
      </c>
    </row>
    <row r="631">
      <c r="C631" s="5" t="s">
        <v>903</v>
      </c>
    </row>
    <row r="632">
      <c r="C632" s="5" t="s">
        <v>903</v>
      </c>
    </row>
    <row r="633">
      <c r="C633" s="5" t="s">
        <v>903</v>
      </c>
    </row>
    <row r="634">
      <c r="C634" s="5" t="s">
        <v>903</v>
      </c>
    </row>
    <row r="635">
      <c r="C635" s="5" t="s">
        <v>903</v>
      </c>
    </row>
    <row r="636">
      <c r="C636" s="5" t="s">
        <v>903</v>
      </c>
    </row>
    <row r="637">
      <c r="C637" s="5" t="s">
        <v>903</v>
      </c>
    </row>
    <row r="638">
      <c r="C638" s="5" t="s">
        <v>903</v>
      </c>
    </row>
    <row r="639">
      <c r="C639" s="5" t="s">
        <v>903</v>
      </c>
    </row>
    <row r="640">
      <c r="C640" s="5" t="s">
        <v>903</v>
      </c>
    </row>
    <row r="641">
      <c r="C641" s="5" t="s">
        <v>903</v>
      </c>
    </row>
    <row r="642">
      <c r="C642" s="5" t="s">
        <v>903</v>
      </c>
    </row>
    <row r="643">
      <c r="C643" s="5" t="s">
        <v>903</v>
      </c>
    </row>
    <row r="644">
      <c r="C644" s="5" t="s">
        <v>903</v>
      </c>
    </row>
    <row r="645">
      <c r="C645" s="5" t="s">
        <v>903</v>
      </c>
    </row>
    <row r="646">
      <c r="C646" s="5" t="s">
        <v>903</v>
      </c>
    </row>
    <row r="647">
      <c r="C647" s="5" t="s">
        <v>903</v>
      </c>
    </row>
    <row r="648">
      <c r="C648" s="5" t="s">
        <v>903</v>
      </c>
    </row>
    <row r="649">
      <c r="C649" s="5" t="s">
        <v>903</v>
      </c>
    </row>
    <row r="650">
      <c r="C650" s="5" t="s">
        <v>903</v>
      </c>
    </row>
    <row r="651">
      <c r="C651" s="5" t="s">
        <v>903</v>
      </c>
    </row>
    <row r="652">
      <c r="C652" s="5" t="s">
        <v>903</v>
      </c>
    </row>
    <row r="653">
      <c r="C653" s="5" t="s">
        <v>903</v>
      </c>
    </row>
    <row r="654">
      <c r="C654" s="5" t="s">
        <v>903</v>
      </c>
    </row>
    <row r="655">
      <c r="C655" s="5" t="s">
        <v>903</v>
      </c>
    </row>
    <row r="656">
      <c r="C656" s="5" t="s">
        <v>903</v>
      </c>
    </row>
    <row r="657">
      <c r="C657" s="5" t="s">
        <v>903</v>
      </c>
    </row>
    <row r="658">
      <c r="C658" s="5" t="s">
        <v>903</v>
      </c>
    </row>
    <row r="659">
      <c r="C659" s="5" t="s">
        <v>903</v>
      </c>
    </row>
    <row r="660">
      <c r="C660" s="5" t="s">
        <v>903</v>
      </c>
    </row>
    <row r="661">
      <c r="C661" s="5" t="s">
        <v>903</v>
      </c>
    </row>
    <row r="662">
      <c r="C662" s="5" t="s">
        <v>903</v>
      </c>
    </row>
    <row r="663">
      <c r="C663" s="5" t="s">
        <v>903</v>
      </c>
    </row>
    <row r="664">
      <c r="C664" s="5" t="s">
        <v>903</v>
      </c>
    </row>
    <row r="665">
      <c r="C665" s="5" t="s">
        <v>903</v>
      </c>
    </row>
    <row r="666">
      <c r="C666" s="5" t="s">
        <v>903</v>
      </c>
    </row>
    <row r="667">
      <c r="C667" s="5" t="s">
        <v>903</v>
      </c>
    </row>
    <row r="668">
      <c r="C668" s="5" t="s">
        <v>903</v>
      </c>
    </row>
    <row r="669">
      <c r="C669" s="5" t="s">
        <v>903</v>
      </c>
    </row>
    <row r="670">
      <c r="C670" s="5" t="s">
        <v>903</v>
      </c>
    </row>
    <row r="671">
      <c r="C671" s="5" t="s">
        <v>903</v>
      </c>
    </row>
    <row r="672">
      <c r="C672" s="5" t="s">
        <v>903</v>
      </c>
    </row>
    <row r="673">
      <c r="C673" s="5" t="s">
        <v>903</v>
      </c>
    </row>
    <row r="674">
      <c r="C674" s="5" t="s">
        <v>903</v>
      </c>
    </row>
    <row r="675">
      <c r="C675" s="5" t="s">
        <v>903</v>
      </c>
    </row>
    <row r="676">
      <c r="C676" s="5" t="s">
        <v>903</v>
      </c>
    </row>
    <row r="677">
      <c r="C677" s="5" t="s">
        <v>903</v>
      </c>
    </row>
    <row r="678">
      <c r="C678" s="5" t="s">
        <v>903</v>
      </c>
    </row>
    <row r="679">
      <c r="C679" s="5" t="s">
        <v>903</v>
      </c>
    </row>
    <row r="680">
      <c r="C680" s="5" t="s">
        <v>903</v>
      </c>
    </row>
    <row r="681">
      <c r="C681" s="5" t="s">
        <v>903</v>
      </c>
    </row>
    <row r="682">
      <c r="C682" s="5" t="s">
        <v>903</v>
      </c>
    </row>
    <row r="683">
      <c r="C683" s="5" t="s">
        <v>903</v>
      </c>
    </row>
    <row r="684">
      <c r="C684" s="5" t="s">
        <v>903</v>
      </c>
    </row>
    <row r="685">
      <c r="C685" s="5" t="s">
        <v>903</v>
      </c>
    </row>
    <row r="686">
      <c r="C686" s="5" t="s">
        <v>903</v>
      </c>
    </row>
    <row r="687">
      <c r="C687" s="5" t="s">
        <v>903</v>
      </c>
    </row>
    <row r="688">
      <c r="C688" s="5" t="s">
        <v>903</v>
      </c>
    </row>
    <row r="689">
      <c r="C689" s="5" t="s">
        <v>903</v>
      </c>
    </row>
    <row r="690">
      <c r="C690" s="5" t="s">
        <v>903</v>
      </c>
    </row>
    <row r="691">
      <c r="C691" s="5" t="s">
        <v>903</v>
      </c>
    </row>
    <row r="692">
      <c r="C692" s="5" t="s">
        <v>903</v>
      </c>
    </row>
    <row r="693">
      <c r="C693" s="5" t="s">
        <v>903</v>
      </c>
    </row>
    <row r="694">
      <c r="C694" s="5" t="s">
        <v>903</v>
      </c>
    </row>
    <row r="695">
      <c r="C695" s="5" t="s">
        <v>903</v>
      </c>
    </row>
    <row r="696">
      <c r="C696" s="5" t="s">
        <v>903</v>
      </c>
    </row>
    <row r="697">
      <c r="C697" s="5" t="s">
        <v>903</v>
      </c>
    </row>
    <row r="698">
      <c r="C698" s="5" t="s">
        <v>903</v>
      </c>
    </row>
    <row r="699">
      <c r="C699" s="5" t="s">
        <v>903</v>
      </c>
    </row>
    <row r="700">
      <c r="C700" s="5" t="s">
        <v>903</v>
      </c>
    </row>
    <row r="701">
      <c r="C701" s="5" t="s">
        <v>903</v>
      </c>
    </row>
    <row r="702">
      <c r="C702" s="5" t="s">
        <v>903</v>
      </c>
    </row>
    <row r="703">
      <c r="C703" s="5" t="s">
        <v>903</v>
      </c>
    </row>
    <row r="704">
      <c r="C704" s="5" t="s">
        <v>903</v>
      </c>
    </row>
    <row r="705">
      <c r="C705" s="5" t="s">
        <v>903</v>
      </c>
    </row>
    <row r="706">
      <c r="C706" s="5" t="s">
        <v>903</v>
      </c>
    </row>
    <row r="707">
      <c r="C707" s="5" t="s">
        <v>903</v>
      </c>
    </row>
    <row r="708">
      <c r="C708" s="5" t="s">
        <v>903</v>
      </c>
    </row>
    <row r="709">
      <c r="C709" s="5" t="s">
        <v>903</v>
      </c>
    </row>
    <row r="710">
      <c r="C710" s="5" t="s">
        <v>903</v>
      </c>
    </row>
    <row r="711">
      <c r="C711" s="5" t="s">
        <v>903</v>
      </c>
    </row>
    <row r="712">
      <c r="C712" s="5" t="s">
        <v>903</v>
      </c>
    </row>
    <row r="713">
      <c r="C713" s="5" t="s">
        <v>903</v>
      </c>
    </row>
    <row r="714">
      <c r="C714" s="5" t="s">
        <v>903</v>
      </c>
    </row>
    <row r="715">
      <c r="C715" s="5" t="s">
        <v>903</v>
      </c>
    </row>
    <row r="716">
      <c r="C716" s="5" t="s">
        <v>903</v>
      </c>
    </row>
    <row r="717">
      <c r="C717" s="5" t="s">
        <v>903</v>
      </c>
    </row>
    <row r="718">
      <c r="C718" s="5" t="s">
        <v>903</v>
      </c>
    </row>
    <row r="719">
      <c r="C719" s="5" t="s">
        <v>903</v>
      </c>
    </row>
    <row r="720">
      <c r="C720" s="5" t="s">
        <v>903</v>
      </c>
    </row>
    <row r="721">
      <c r="C721" s="5" t="s">
        <v>903</v>
      </c>
    </row>
    <row r="722">
      <c r="C722" s="5" t="s">
        <v>903</v>
      </c>
    </row>
    <row r="723">
      <c r="C723" s="5" t="s">
        <v>903</v>
      </c>
    </row>
    <row r="724">
      <c r="C724" s="5" t="s">
        <v>903</v>
      </c>
    </row>
    <row r="725">
      <c r="C725" s="5" t="s">
        <v>903</v>
      </c>
    </row>
    <row r="726">
      <c r="C726" s="5" t="s">
        <v>903</v>
      </c>
    </row>
    <row r="727">
      <c r="C727" s="5" t="s">
        <v>903</v>
      </c>
    </row>
    <row r="728">
      <c r="C728" s="5" t="s">
        <v>903</v>
      </c>
    </row>
    <row r="729">
      <c r="C729" s="5" t="s">
        <v>903</v>
      </c>
    </row>
    <row r="730">
      <c r="C730" s="5" t="s">
        <v>903</v>
      </c>
    </row>
    <row r="731">
      <c r="C731" s="5" t="s">
        <v>903</v>
      </c>
    </row>
    <row r="732">
      <c r="C732" s="5" t="s">
        <v>903</v>
      </c>
    </row>
    <row r="733">
      <c r="C733" s="5" t="s">
        <v>903</v>
      </c>
    </row>
    <row r="734">
      <c r="C734" s="5" t="s">
        <v>903</v>
      </c>
    </row>
    <row r="735">
      <c r="C735" s="5" t="s">
        <v>903</v>
      </c>
    </row>
    <row r="736">
      <c r="C736" s="5" t="s">
        <v>903</v>
      </c>
    </row>
    <row r="737">
      <c r="C737" s="5" t="s">
        <v>903</v>
      </c>
    </row>
    <row r="738">
      <c r="C738" s="5" t="s">
        <v>903</v>
      </c>
    </row>
    <row r="739">
      <c r="C739" s="5" t="s">
        <v>903</v>
      </c>
    </row>
    <row r="740">
      <c r="C740" s="5" t="s">
        <v>903</v>
      </c>
    </row>
    <row r="741">
      <c r="C741" s="5" t="s">
        <v>903</v>
      </c>
    </row>
    <row r="742">
      <c r="C742" s="5" t="s">
        <v>903</v>
      </c>
    </row>
    <row r="743">
      <c r="C743" s="5" t="s">
        <v>903</v>
      </c>
    </row>
    <row r="744">
      <c r="C744" s="5" t="s">
        <v>903</v>
      </c>
    </row>
    <row r="745">
      <c r="C745" s="5" t="s">
        <v>903</v>
      </c>
    </row>
    <row r="746">
      <c r="C746" s="5" t="s">
        <v>903</v>
      </c>
    </row>
    <row r="747">
      <c r="C747" s="5" t="s">
        <v>903</v>
      </c>
    </row>
    <row r="748">
      <c r="C748" s="5" t="s">
        <v>903</v>
      </c>
    </row>
    <row r="749">
      <c r="C749" s="5" t="s">
        <v>903</v>
      </c>
    </row>
    <row r="750">
      <c r="C750" s="5" t="s">
        <v>903</v>
      </c>
    </row>
    <row r="751">
      <c r="C751" s="5" t="s">
        <v>903</v>
      </c>
    </row>
    <row r="752">
      <c r="C752" s="5" t="s">
        <v>903</v>
      </c>
    </row>
    <row r="753">
      <c r="C753" s="5" t="s">
        <v>903</v>
      </c>
    </row>
    <row r="754">
      <c r="C754" s="5" t="s">
        <v>903</v>
      </c>
    </row>
    <row r="755">
      <c r="C755" s="5" t="s">
        <v>903</v>
      </c>
    </row>
    <row r="756">
      <c r="C756" s="5" t="s">
        <v>903</v>
      </c>
    </row>
    <row r="757">
      <c r="C757" s="5" t="s">
        <v>903</v>
      </c>
    </row>
    <row r="758">
      <c r="C758" s="5" t="s">
        <v>903</v>
      </c>
    </row>
    <row r="759">
      <c r="C759" s="5" t="s">
        <v>903</v>
      </c>
    </row>
    <row r="760">
      <c r="C760" s="5" t="s">
        <v>903</v>
      </c>
    </row>
    <row r="761">
      <c r="C761" s="5" t="s">
        <v>903</v>
      </c>
    </row>
    <row r="762">
      <c r="C762" s="5" t="s">
        <v>903</v>
      </c>
    </row>
    <row r="763">
      <c r="C763" s="5" t="s">
        <v>903</v>
      </c>
    </row>
    <row r="764">
      <c r="C764" s="5" t="s">
        <v>903</v>
      </c>
    </row>
    <row r="765">
      <c r="C765" s="5" t="s">
        <v>903</v>
      </c>
    </row>
    <row r="766">
      <c r="C766" s="5" t="s">
        <v>903</v>
      </c>
    </row>
    <row r="767">
      <c r="C767" s="5" t="s">
        <v>903</v>
      </c>
    </row>
    <row r="768">
      <c r="C768" s="5" t="s">
        <v>903</v>
      </c>
    </row>
    <row r="769">
      <c r="C769" s="5" t="s">
        <v>903</v>
      </c>
    </row>
    <row r="770">
      <c r="C770" s="5" t="s">
        <v>903</v>
      </c>
    </row>
    <row r="771">
      <c r="C771" s="5" t="s">
        <v>903</v>
      </c>
    </row>
    <row r="772">
      <c r="C772" s="5" t="s">
        <v>903</v>
      </c>
    </row>
    <row r="773">
      <c r="C773" s="5" t="s">
        <v>903</v>
      </c>
    </row>
    <row r="774">
      <c r="C774" s="5" t="s">
        <v>903</v>
      </c>
    </row>
    <row r="775">
      <c r="C775" s="5" t="s">
        <v>903</v>
      </c>
    </row>
    <row r="776">
      <c r="C776" s="5" t="s">
        <v>903</v>
      </c>
    </row>
    <row r="777">
      <c r="C777" s="5" t="s">
        <v>903</v>
      </c>
    </row>
    <row r="778">
      <c r="C778" s="5" t="s">
        <v>903</v>
      </c>
    </row>
    <row r="779">
      <c r="C779" s="5" t="s">
        <v>903</v>
      </c>
    </row>
    <row r="780">
      <c r="C780" s="5" t="s">
        <v>903</v>
      </c>
    </row>
    <row r="781">
      <c r="C781" s="5" t="s">
        <v>903</v>
      </c>
    </row>
    <row r="782">
      <c r="C782" s="5" t="s">
        <v>903</v>
      </c>
    </row>
    <row r="783">
      <c r="C783" s="5" t="s">
        <v>903</v>
      </c>
    </row>
    <row r="784">
      <c r="C784" s="5" t="s">
        <v>903</v>
      </c>
    </row>
    <row r="785">
      <c r="C785" s="5" t="s">
        <v>903</v>
      </c>
    </row>
    <row r="786">
      <c r="C786" s="5" t="s">
        <v>903</v>
      </c>
    </row>
    <row r="787">
      <c r="C787" s="5" t="s">
        <v>903</v>
      </c>
    </row>
    <row r="788">
      <c r="C788" s="5" t="s">
        <v>903</v>
      </c>
    </row>
    <row r="789">
      <c r="C789" s="5" t="s">
        <v>903</v>
      </c>
    </row>
    <row r="790">
      <c r="C790" s="5" t="s">
        <v>903</v>
      </c>
    </row>
    <row r="791">
      <c r="C791" s="5" t="s">
        <v>903</v>
      </c>
    </row>
    <row r="792">
      <c r="C792" s="5" t="s">
        <v>903</v>
      </c>
    </row>
    <row r="793">
      <c r="C793" s="5" t="s">
        <v>903</v>
      </c>
    </row>
    <row r="794">
      <c r="C794" s="5" t="s">
        <v>903</v>
      </c>
    </row>
    <row r="795">
      <c r="C795" s="5" t="s">
        <v>903</v>
      </c>
    </row>
    <row r="796">
      <c r="C796" s="5" t="s">
        <v>903</v>
      </c>
    </row>
    <row r="797">
      <c r="C797" s="5" t="s">
        <v>903</v>
      </c>
    </row>
    <row r="798">
      <c r="C798" s="5" t="s">
        <v>903</v>
      </c>
    </row>
    <row r="799">
      <c r="C799" s="5" t="s">
        <v>903</v>
      </c>
    </row>
    <row r="800">
      <c r="C800" s="5" t="s">
        <v>903</v>
      </c>
    </row>
    <row r="801">
      <c r="C801" s="5" t="s">
        <v>903</v>
      </c>
    </row>
    <row r="802">
      <c r="C802" s="5" t="s">
        <v>903</v>
      </c>
    </row>
    <row r="803">
      <c r="C803" s="5" t="s">
        <v>903</v>
      </c>
    </row>
    <row r="804">
      <c r="C804" s="5" t="s">
        <v>903</v>
      </c>
    </row>
    <row r="805">
      <c r="C805" s="5" t="s">
        <v>903</v>
      </c>
    </row>
    <row r="806">
      <c r="C806" s="5" t="s">
        <v>903</v>
      </c>
    </row>
    <row r="807">
      <c r="C807" s="5" t="s">
        <v>903</v>
      </c>
    </row>
    <row r="808">
      <c r="C808" s="5" t="s">
        <v>903</v>
      </c>
    </row>
    <row r="809">
      <c r="C809" s="5" t="s">
        <v>903</v>
      </c>
    </row>
    <row r="810">
      <c r="C810" s="5" t="s">
        <v>903</v>
      </c>
    </row>
    <row r="811">
      <c r="C811" s="5" t="s">
        <v>903</v>
      </c>
    </row>
    <row r="812">
      <c r="C812" s="5" t="s">
        <v>903</v>
      </c>
    </row>
    <row r="813">
      <c r="C813" s="5" t="s">
        <v>903</v>
      </c>
    </row>
    <row r="814">
      <c r="C814" s="5" t="s">
        <v>903</v>
      </c>
    </row>
    <row r="815">
      <c r="C815" s="5" t="s">
        <v>903</v>
      </c>
    </row>
    <row r="816">
      <c r="C816" s="5" t="s">
        <v>903</v>
      </c>
    </row>
    <row r="817">
      <c r="C817" s="5" t="s">
        <v>903</v>
      </c>
    </row>
    <row r="818">
      <c r="C818" s="5" t="s">
        <v>903</v>
      </c>
    </row>
    <row r="819">
      <c r="C819" s="5" t="s">
        <v>903</v>
      </c>
    </row>
    <row r="820">
      <c r="C820" s="5" t="s">
        <v>903</v>
      </c>
    </row>
    <row r="821">
      <c r="C821" s="5" t="s">
        <v>903</v>
      </c>
    </row>
    <row r="822">
      <c r="C822" s="5" t="s">
        <v>903</v>
      </c>
    </row>
    <row r="823">
      <c r="C823" s="5" t="s">
        <v>903</v>
      </c>
    </row>
    <row r="824">
      <c r="C824" s="5" t="s">
        <v>903</v>
      </c>
    </row>
    <row r="825">
      <c r="C825" s="5" t="s">
        <v>903</v>
      </c>
    </row>
    <row r="826">
      <c r="C826" s="5" t="s">
        <v>903</v>
      </c>
    </row>
    <row r="827">
      <c r="C827" s="5" t="s">
        <v>903</v>
      </c>
    </row>
    <row r="828">
      <c r="C828" s="5" t="s">
        <v>903</v>
      </c>
    </row>
    <row r="829">
      <c r="C829" s="5" t="s">
        <v>903</v>
      </c>
    </row>
    <row r="830">
      <c r="C830" s="5" t="s">
        <v>903</v>
      </c>
    </row>
    <row r="831">
      <c r="C831" s="5" t="s">
        <v>903</v>
      </c>
    </row>
    <row r="832">
      <c r="C832" s="5" t="s">
        <v>903</v>
      </c>
    </row>
    <row r="833">
      <c r="C833" s="5" t="s">
        <v>903</v>
      </c>
    </row>
    <row r="834">
      <c r="C834" s="5" t="s">
        <v>903</v>
      </c>
    </row>
    <row r="835">
      <c r="C835" s="5" t="s">
        <v>903</v>
      </c>
    </row>
    <row r="836">
      <c r="C836" s="5" t="s">
        <v>903</v>
      </c>
    </row>
    <row r="837">
      <c r="C837" s="5" t="s">
        <v>903</v>
      </c>
    </row>
    <row r="838">
      <c r="C838" s="5" t="s">
        <v>903</v>
      </c>
    </row>
    <row r="839">
      <c r="C839" s="5" t="s">
        <v>903</v>
      </c>
    </row>
    <row r="840">
      <c r="C840" s="5" t="s">
        <v>903</v>
      </c>
    </row>
    <row r="841">
      <c r="C841" s="5" t="s">
        <v>903</v>
      </c>
    </row>
    <row r="842">
      <c r="C842" s="5" t="s">
        <v>903</v>
      </c>
    </row>
    <row r="843">
      <c r="C843" s="5" t="s">
        <v>903</v>
      </c>
    </row>
    <row r="844">
      <c r="C844" s="5" t="s">
        <v>903</v>
      </c>
    </row>
    <row r="845">
      <c r="C845" s="5" t="s">
        <v>903</v>
      </c>
    </row>
    <row r="846">
      <c r="C846" s="5" t="s">
        <v>903</v>
      </c>
    </row>
    <row r="847">
      <c r="C847" s="5" t="s">
        <v>903</v>
      </c>
    </row>
    <row r="848">
      <c r="C848" s="5" t="s">
        <v>903</v>
      </c>
    </row>
    <row r="849">
      <c r="C849" s="5" t="s">
        <v>903</v>
      </c>
    </row>
    <row r="850">
      <c r="C850" s="5" t="s">
        <v>903</v>
      </c>
    </row>
    <row r="851">
      <c r="C851" s="5" t="s">
        <v>903</v>
      </c>
    </row>
    <row r="852">
      <c r="C852" s="5" t="s">
        <v>903</v>
      </c>
    </row>
    <row r="853">
      <c r="C853" s="5" t="s">
        <v>903</v>
      </c>
    </row>
    <row r="854">
      <c r="C854" s="5" t="s">
        <v>903</v>
      </c>
    </row>
    <row r="855">
      <c r="C855" s="5" t="s">
        <v>903</v>
      </c>
    </row>
    <row r="856">
      <c r="C856" s="5" t="s">
        <v>903</v>
      </c>
    </row>
    <row r="857">
      <c r="C857" s="5" t="s">
        <v>903</v>
      </c>
    </row>
    <row r="858">
      <c r="C858" s="5" t="s">
        <v>903</v>
      </c>
    </row>
    <row r="859">
      <c r="C859" s="5" t="s">
        <v>903</v>
      </c>
    </row>
    <row r="860">
      <c r="C860" s="5" t="s">
        <v>903</v>
      </c>
    </row>
    <row r="861">
      <c r="C861" s="5" t="s">
        <v>903</v>
      </c>
    </row>
    <row r="862">
      <c r="C862" s="5" t="s">
        <v>903</v>
      </c>
    </row>
    <row r="863">
      <c r="C863" s="5" t="s">
        <v>903</v>
      </c>
    </row>
    <row r="864">
      <c r="C864" s="5" t="s">
        <v>903</v>
      </c>
    </row>
    <row r="865">
      <c r="C865" s="5" t="s">
        <v>903</v>
      </c>
    </row>
    <row r="866">
      <c r="C866" s="5" t="s">
        <v>903</v>
      </c>
    </row>
    <row r="867">
      <c r="C867" s="5" t="s">
        <v>903</v>
      </c>
    </row>
    <row r="868">
      <c r="C868" s="5" t="s">
        <v>903</v>
      </c>
    </row>
    <row r="869">
      <c r="C869" s="5" t="s">
        <v>903</v>
      </c>
    </row>
    <row r="870">
      <c r="C870" s="5" t="s">
        <v>903</v>
      </c>
    </row>
    <row r="871">
      <c r="C871" s="5" t="s">
        <v>903</v>
      </c>
    </row>
    <row r="872">
      <c r="C872" s="5" t="s">
        <v>903</v>
      </c>
    </row>
    <row r="873">
      <c r="C873" s="5" t="s">
        <v>903</v>
      </c>
    </row>
    <row r="874">
      <c r="C874" s="5" t="s">
        <v>903</v>
      </c>
    </row>
    <row r="875">
      <c r="C875" s="5" t="s">
        <v>903</v>
      </c>
    </row>
    <row r="876">
      <c r="C876" s="5" t="s">
        <v>903</v>
      </c>
    </row>
    <row r="877">
      <c r="C877" s="5" t="s">
        <v>903</v>
      </c>
    </row>
    <row r="878">
      <c r="C878" s="5" t="s">
        <v>903</v>
      </c>
    </row>
    <row r="879">
      <c r="C879" s="5" t="s">
        <v>903</v>
      </c>
    </row>
    <row r="880">
      <c r="C880" s="5" t="s">
        <v>903</v>
      </c>
    </row>
    <row r="881">
      <c r="C881" s="5" t="s">
        <v>903</v>
      </c>
    </row>
    <row r="882">
      <c r="C882" s="5" t="s">
        <v>903</v>
      </c>
    </row>
    <row r="883">
      <c r="C883" s="5" t="s">
        <v>903</v>
      </c>
    </row>
    <row r="884">
      <c r="C884" s="5" t="s">
        <v>903</v>
      </c>
    </row>
    <row r="885">
      <c r="C885" s="5" t="s">
        <v>903</v>
      </c>
    </row>
    <row r="886">
      <c r="C886" s="5" t="s">
        <v>903</v>
      </c>
    </row>
    <row r="887">
      <c r="C887" s="5" t="s">
        <v>903</v>
      </c>
    </row>
    <row r="888">
      <c r="C888" s="5" t="s">
        <v>903</v>
      </c>
    </row>
    <row r="889">
      <c r="C889" s="5" t="s">
        <v>903</v>
      </c>
    </row>
    <row r="890">
      <c r="C890" s="5" t="s">
        <v>903</v>
      </c>
    </row>
    <row r="891">
      <c r="C891" s="5" t="s">
        <v>903</v>
      </c>
    </row>
    <row r="892">
      <c r="C892" s="5" t="s">
        <v>903</v>
      </c>
    </row>
    <row r="893">
      <c r="C893" s="5" t="s">
        <v>903</v>
      </c>
    </row>
    <row r="894">
      <c r="C894" s="5" t="s">
        <v>903</v>
      </c>
    </row>
    <row r="895">
      <c r="C895" s="5" t="s">
        <v>903</v>
      </c>
    </row>
    <row r="896">
      <c r="C896" s="5" t="s">
        <v>903</v>
      </c>
    </row>
    <row r="897">
      <c r="C897" s="5" t="s">
        <v>903</v>
      </c>
    </row>
    <row r="898">
      <c r="C898" s="5" t="s">
        <v>903</v>
      </c>
    </row>
    <row r="899">
      <c r="C899" s="5" t="s">
        <v>903</v>
      </c>
    </row>
    <row r="900">
      <c r="C900" s="5" t="s">
        <v>903</v>
      </c>
    </row>
    <row r="901">
      <c r="C901" s="5" t="s">
        <v>903</v>
      </c>
    </row>
    <row r="902">
      <c r="C902" s="5" t="s">
        <v>903</v>
      </c>
    </row>
    <row r="903">
      <c r="C903" s="5" t="s">
        <v>903</v>
      </c>
    </row>
    <row r="904">
      <c r="C904" s="5" t="s">
        <v>903</v>
      </c>
    </row>
    <row r="905">
      <c r="C905" s="5" t="s">
        <v>903</v>
      </c>
    </row>
    <row r="906">
      <c r="C906" s="5" t="s">
        <v>903</v>
      </c>
    </row>
    <row r="907">
      <c r="C907" s="5" t="s">
        <v>903</v>
      </c>
    </row>
    <row r="908">
      <c r="C908" s="5" t="s">
        <v>903</v>
      </c>
    </row>
    <row r="909">
      <c r="C909" s="5" t="s">
        <v>903</v>
      </c>
    </row>
    <row r="910">
      <c r="C910" s="5" t="s">
        <v>903</v>
      </c>
    </row>
    <row r="911">
      <c r="C911" s="5" t="s">
        <v>903</v>
      </c>
    </row>
    <row r="912">
      <c r="C912" s="5" t="s">
        <v>903</v>
      </c>
    </row>
    <row r="913">
      <c r="C913" s="5" t="s">
        <v>903</v>
      </c>
    </row>
    <row r="914">
      <c r="C914" s="5" t="s">
        <v>903</v>
      </c>
    </row>
    <row r="915">
      <c r="C915" s="5" t="s">
        <v>903</v>
      </c>
    </row>
    <row r="916">
      <c r="C916" s="5" t="s">
        <v>903</v>
      </c>
    </row>
    <row r="917">
      <c r="C917" s="5" t="s">
        <v>903</v>
      </c>
    </row>
    <row r="918">
      <c r="C918" s="5" t="s">
        <v>903</v>
      </c>
    </row>
    <row r="919">
      <c r="C919" s="5" t="s">
        <v>903</v>
      </c>
    </row>
    <row r="920">
      <c r="C920" s="5" t="s">
        <v>903</v>
      </c>
    </row>
    <row r="921">
      <c r="C921" s="5" t="s">
        <v>903</v>
      </c>
    </row>
    <row r="922">
      <c r="C922" s="5" t="s">
        <v>903</v>
      </c>
    </row>
    <row r="923">
      <c r="C923" s="5" t="s">
        <v>903</v>
      </c>
    </row>
    <row r="924">
      <c r="C924" s="5" t="s">
        <v>903</v>
      </c>
    </row>
    <row r="925">
      <c r="C925" s="5" t="s">
        <v>903</v>
      </c>
    </row>
    <row r="926">
      <c r="C926" s="5" t="s">
        <v>903</v>
      </c>
    </row>
    <row r="927">
      <c r="C927" s="5" t="s">
        <v>903</v>
      </c>
    </row>
    <row r="928">
      <c r="C928" s="5" t="s">
        <v>903</v>
      </c>
    </row>
    <row r="929">
      <c r="C929" s="5" t="s">
        <v>903</v>
      </c>
    </row>
    <row r="930">
      <c r="C930" s="5" t="s">
        <v>903</v>
      </c>
    </row>
    <row r="931">
      <c r="C931" s="5" t="s">
        <v>903</v>
      </c>
    </row>
    <row r="932">
      <c r="C932" s="5" t="s">
        <v>903</v>
      </c>
    </row>
    <row r="933">
      <c r="C933" s="5" t="s">
        <v>903</v>
      </c>
    </row>
    <row r="934">
      <c r="C934" s="5" t="s">
        <v>903</v>
      </c>
    </row>
    <row r="935">
      <c r="C935" s="5" t="s">
        <v>903</v>
      </c>
    </row>
    <row r="936">
      <c r="C936" s="5" t="s">
        <v>903</v>
      </c>
    </row>
    <row r="937">
      <c r="C937" s="5" t="s">
        <v>903</v>
      </c>
    </row>
    <row r="938">
      <c r="C938" s="5" t="s">
        <v>903</v>
      </c>
    </row>
    <row r="939">
      <c r="C939" s="5" t="s">
        <v>903</v>
      </c>
    </row>
    <row r="940">
      <c r="C940" s="5" t="s">
        <v>903</v>
      </c>
    </row>
    <row r="941">
      <c r="C941" s="5" t="s">
        <v>903</v>
      </c>
    </row>
    <row r="942">
      <c r="C942" s="5" t="s">
        <v>903</v>
      </c>
    </row>
    <row r="943">
      <c r="C943" s="5" t="s">
        <v>903</v>
      </c>
    </row>
    <row r="944">
      <c r="C944" s="5" t="s">
        <v>903</v>
      </c>
    </row>
    <row r="945">
      <c r="C945" s="5" t="s">
        <v>903</v>
      </c>
    </row>
    <row r="946">
      <c r="C946" s="5" t="s">
        <v>903</v>
      </c>
    </row>
    <row r="947">
      <c r="C947" s="5" t="s">
        <v>903</v>
      </c>
    </row>
    <row r="948">
      <c r="C948" s="5" t="s">
        <v>903</v>
      </c>
    </row>
    <row r="949">
      <c r="C949" s="5" t="s">
        <v>903</v>
      </c>
    </row>
    <row r="950">
      <c r="C950" s="5" t="s">
        <v>903</v>
      </c>
    </row>
    <row r="951">
      <c r="C951" s="5" t="s">
        <v>903</v>
      </c>
    </row>
    <row r="952">
      <c r="C952" s="5" t="s">
        <v>903</v>
      </c>
    </row>
    <row r="953">
      <c r="C953" s="5" t="s">
        <v>903</v>
      </c>
    </row>
    <row r="954">
      <c r="C954" s="5" t="s">
        <v>903</v>
      </c>
    </row>
    <row r="955">
      <c r="C955" s="5" t="s">
        <v>903</v>
      </c>
    </row>
    <row r="956">
      <c r="C956" s="5" t="s">
        <v>903</v>
      </c>
    </row>
    <row r="957">
      <c r="C957" s="5" t="s">
        <v>903</v>
      </c>
    </row>
    <row r="958">
      <c r="C958" s="5" t="s">
        <v>903</v>
      </c>
    </row>
    <row r="959">
      <c r="C959" s="5" t="s">
        <v>903</v>
      </c>
    </row>
    <row r="960">
      <c r="C960" s="5" t="s">
        <v>903</v>
      </c>
    </row>
    <row r="961">
      <c r="C961" s="5" t="s">
        <v>903</v>
      </c>
    </row>
    <row r="962">
      <c r="C962" s="5" t="s">
        <v>903</v>
      </c>
    </row>
    <row r="963">
      <c r="C963" s="5" t="s">
        <v>903</v>
      </c>
    </row>
    <row r="964">
      <c r="C964" s="5" t="s">
        <v>903</v>
      </c>
    </row>
    <row r="965">
      <c r="C965" s="5" t="s">
        <v>903</v>
      </c>
    </row>
    <row r="966">
      <c r="C966" s="5" t="s">
        <v>903</v>
      </c>
    </row>
    <row r="967">
      <c r="C967" s="5" t="s">
        <v>903</v>
      </c>
    </row>
    <row r="968">
      <c r="C968" s="5" t="s">
        <v>903</v>
      </c>
    </row>
    <row r="969">
      <c r="C969" s="5" t="s">
        <v>903</v>
      </c>
    </row>
    <row r="970">
      <c r="C970" s="5" t="s">
        <v>903</v>
      </c>
    </row>
    <row r="971">
      <c r="C971" s="5" t="s">
        <v>903</v>
      </c>
    </row>
    <row r="972">
      <c r="C972" s="5" t="s">
        <v>903</v>
      </c>
    </row>
    <row r="973">
      <c r="C973" s="5" t="s">
        <v>903</v>
      </c>
    </row>
    <row r="974">
      <c r="C974" s="5" t="s">
        <v>903</v>
      </c>
    </row>
    <row r="975">
      <c r="C975" s="5" t="s">
        <v>903</v>
      </c>
    </row>
    <row r="976">
      <c r="C976" s="5" t="s">
        <v>903</v>
      </c>
    </row>
    <row r="977">
      <c r="C977" s="5" t="s">
        <v>903</v>
      </c>
    </row>
    <row r="978">
      <c r="C978" s="5" t="s">
        <v>903</v>
      </c>
    </row>
    <row r="979">
      <c r="C979" s="5" t="s">
        <v>903</v>
      </c>
    </row>
    <row r="980">
      <c r="C980" s="5" t="s">
        <v>903</v>
      </c>
    </row>
    <row r="981">
      <c r="C981" s="5" t="s">
        <v>903</v>
      </c>
    </row>
    <row r="982">
      <c r="C982" s="5" t="s">
        <v>903</v>
      </c>
    </row>
    <row r="983">
      <c r="C983" s="5" t="s">
        <v>903</v>
      </c>
    </row>
    <row r="984">
      <c r="C984" s="5" t="s">
        <v>903</v>
      </c>
    </row>
    <row r="985">
      <c r="C985" s="5" t="s">
        <v>903</v>
      </c>
    </row>
    <row r="986">
      <c r="C986" s="5" t="s">
        <v>903</v>
      </c>
    </row>
    <row r="987">
      <c r="C987" s="5" t="s">
        <v>903</v>
      </c>
    </row>
    <row r="988">
      <c r="C988" s="5" t="s">
        <v>903</v>
      </c>
    </row>
    <row r="989">
      <c r="C989" s="5" t="s">
        <v>903</v>
      </c>
    </row>
    <row r="990">
      <c r="C990" s="5" t="s">
        <v>903</v>
      </c>
    </row>
    <row r="991">
      <c r="C991" s="5" t="s">
        <v>903</v>
      </c>
    </row>
    <row r="992">
      <c r="C992" s="5" t="s">
        <v>903</v>
      </c>
    </row>
    <row r="993">
      <c r="C993" s="5" t="s">
        <v>903</v>
      </c>
    </row>
    <row r="994">
      <c r="C994" s="5" t="s">
        <v>903</v>
      </c>
    </row>
    <row r="995">
      <c r="C995" s="5" t="s">
        <v>903</v>
      </c>
    </row>
    <row r="996">
      <c r="C996" s="5" t="s">
        <v>903</v>
      </c>
    </row>
    <row r="997">
      <c r="C997" s="5" t="s">
        <v>903</v>
      </c>
    </row>
    <row r="998">
      <c r="C998" s="5" t="s">
        <v>903</v>
      </c>
    </row>
    <row r="999">
      <c r="C999" s="5" t="s">
        <v>903</v>
      </c>
    </row>
    <row r="1000">
      <c r="C1000" s="5" t="s">
        <v>903</v>
      </c>
    </row>
    <row r="1001">
      <c r="C1001" s="5" t="s">
        <v>903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75"/>
    <col customWidth="1" min="3" max="3" width="37.63"/>
    <col customWidth="1" min="4" max="4" width="8.75"/>
    <col customWidth="1" min="5" max="5" width="16.63"/>
    <col customWidth="1" min="6" max="6" width="17.5"/>
    <col customWidth="1" min="7" max="9" width="23.63"/>
    <col customWidth="1" min="10" max="10" width="30.63"/>
    <col customWidth="1" min="11" max="11" width="23.63"/>
    <col customWidth="1" min="12" max="12" width="17.5"/>
    <col customWidth="1" min="13" max="13" width="11.38"/>
    <col customWidth="1" min="14" max="14" width="23.63"/>
    <col customWidth="1" min="15" max="15" width="17.5"/>
    <col customWidth="1" min="16" max="18" width="23.63"/>
    <col customWidth="1" min="19" max="20" width="17.5"/>
    <col customWidth="1" min="21" max="24" width="23.63"/>
    <col customWidth="1" min="25" max="25" width="11.38"/>
    <col customWidth="1" min="26" max="26" width="23.63"/>
    <col customWidth="1" min="27" max="27" width="11.38"/>
    <col customWidth="1" min="28" max="33" width="23.63"/>
    <col customWidth="1" min="34" max="34" width="11.38"/>
    <col customWidth="1" min="35" max="38" width="23.63"/>
    <col customWidth="1" min="39" max="39" width="17.5"/>
    <col customWidth="1" min="40" max="44" width="23.63"/>
    <col customWidth="1" min="45" max="47" width="11.38"/>
    <col customWidth="1" min="48" max="49" width="23.63"/>
    <col customWidth="1" min="50" max="51" width="11.38"/>
  </cols>
  <sheetData>
    <row r="1" ht="15.75" customHeight="1">
      <c r="A1" s="22"/>
      <c r="B1" s="22" t="s">
        <v>368</v>
      </c>
      <c r="C1" s="23" t="s">
        <v>904</v>
      </c>
      <c r="D1" s="22" t="s">
        <v>370</v>
      </c>
      <c r="E1" s="22" t="s">
        <v>905</v>
      </c>
      <c r="F1" s="22" t="s">
        <v>906</v>
      </c>
      <c r="G1" s="22" t="s">
        <v>907</v>
      </c>
      <c r="H1" s="22" t="s">
        <v>908</v>
      </c>
      <c r="I1" s="22" t="s">
        <v>909</v>
      </c>
      <c r="J1" s="22" t="s">
        <v>910</v>
      </c>
      <c r="K1" s="22" t="s">
        <v>911</v>
      </c>
      <c r="L1" s="22" t="s">
        <v>912</v>
      </c>
      <c r="M1" s="22" t="s">
        <v>913</v>
      </c>
      <c r="N1" s="22" t="s">
        <v>914</v>
      </c>
      <c r="O1" s="22" t="s">
        <v>915</v>
      </c>
      <c r="P1" s="22" t="s">
        <v>916</v>
      </c>
      <c r="Q1" s="22" t="s">
        <v>917</v>
      </c>
      <c r="R1" s="22" t="s">
        <v>918</v>
      </c>
      <c r="S1" s="22" t="s">
        <v>919</v>
      </c>
      <c r="T1" s="22" t="s">
        <v>920</v>
      </c>
      <c r="U1" s="22" t="s">
        <v>921</v>
      </c>
      <c r="V1" s="22" t="s">
        <v>922</v>
      </c>
      <c r="W1" s="22" t="s">
        <v>923</v>
      </c>
      <c r="X1" s="22" t="s">
        <v>924</v>
      </c>
      <c r="Y1" s="22" t="s">
        <v>925</v>
      </c>
      <c r="Z1" s="22" t="s">
        <v>926</v>
      </c>
      <c r="AA1" s="22" t="s">
        <v>927</v>
      </c>
      <c r="AB1" s="22" t="s">
        <v>928</v>
      </c>
      <c r="AC1" s="22" t="s">
        <v>929</v>
      </c>
      <c r="AD1" s="22" t="s">
        <v>930</v>
      </c>
      <c r="AE1" s="22" t="s">
        <v>931</v>
      </c>
      <c r="AF1" s="22" t="s">
        <v>932</v>
      </c>
      <c r="AG1" s="22" t="s">
        <v>933</v>
      </c>
      <c r="AH1" s="22" t="s">
        <v>934</v>
      </c>
      <c r="AI1" s="22" t="s">
        <v>935</v>
      </c>
      <c r="AJ1" s="22" t="s">
        <v>936</v>
      </c>
      <c r="AK1" s="22" t="s">
        <v>937</v>
      </c>
      <c r="AL1" s="22" t="s">
        <v>938</v>
      </c>
      <c r="AM1" s="22" t="s">
        <v>939</v>
      </c>
      <c r="AN1" s="22" t="s">
        <v>940</v>
      </c>
      <c r="AO1" s="22" t="s">
        <v>941</v>
      </c>
      <c r="AP1" s="22" t="s">
        <v>942</v>
      </c>
      <c r="AQ1" s="22" t="s">
        <v>943</v>
      </c>
      <c r="AR1" s="22" t="s">
        <v>944</v>
      </c>
      <c r="AS1" s="22" t="s">
        <v>945</v>
      </c>
      <c r="AT1" s="22" t="s">
        <v>946</v>
      </c>
      <c r="AU1" s="22" t="s">
        <v>947</v>
      </c>
      <c r="AV1" s="22" t="s">
        <v>948</v>
      </c>
      <c r="AW1" s="22" t="s">
        <v>949</v>
      </c>
      <c r="AX1" s="22" t="s">
        <v>950</v>
      </c>
      <c r="AY1" s="22" t="s">
        <v>951</v>
      </c>
      <c r="AZ1" s="23" t="s">
        <v>904</v>
      </c>
      <c r="BA1" s="23" t="s">
        <v>952</v>
      </c>
    </row>
    <row r="2" ht="15.75" customHeight="1">
      <c r="A2" s="24"/>
      <c r="B2" s="24">
        <v>191.0</v>
      </c>
      <c r="C2" s="21" t="s">
        <v>24</v>
      </c>
      <c r="D2" s="3" t="s">
        <v>953</v>
      </c>
      <c r="E2" s="25">
        <v>46218.96388888889</v>
      </c>
      <c r="F2" s="3" t="s">
        <v>364</v>
      </c>
      <c r="G2" s="3" t="s">
        <v>954</v>
      </c>
      <c r="H2" s="3" t="s">
        <v>955</v>
      </c>
      <c r="I2" s="3" t="s">
        <v>365</v>
      </c>
      <c r="J2" s="3" t="s">
        <v>956</v>
      </c>
      <c r="K2" s="3" t="s">
        <v>957</v>
      </c>
      <c r="L2" s="3" t="s">
        <v>958</v>
      </c>
      <c r="M2" s="26">
        <v>39220.0</v>
      </c>
      <c r="N2" s="3" t="s">
        <v>959</v>
      </c>
      <c r="O2" s="3" t="s">
        <v>960</v>
      </c>
      <c r="P2" s="3" t="s">
        <v>961</v>
      </c>
      <c r="Q2" s="3" t="s">
        <v>962</v>
      </c>
      <c r="R2" s="4"/>
      <c r="S2" s="3" t="s">
        <v>963</v>
      </c>
      <c r="T2" s="3" t="s">
        <v>964</v>
      </c>
      <c r="U2" s="3" t="s">
        <v>965</v>
      </c>
      <c r="V2" s="3" t="s">
        <v>966</v>
      </c>
      <c r="W2" s="3" t="s">
        <v>967</v>
      </c>
      <c r="X2" s="3" t="s">
        <v>968</v>
      </c>
      <c r="Y2" s="3" t="s">
        <v>969</v>
      </c>
      <c r="Z2" s="3" t="s">
        <v>970</v>
      </c>
      <c r="AA2" s="3" t="s">
        <v>971</v>
      </c>
      <c r="AB2" s="4"/>
      <c r="AC2" s="3" t="s">
        <v>966</v>
      </c>
      <c r="AD2" s="3" t="s">
        <v>966</v>
      </c>
      <c r="AE2" s="4"/>
      <c r="AF2" s="4"/>
      <c r="AG2" s="4"/>
      <c r="AH2" s="3" t="s">
        <v>971</v>
      </c>
      <c r="AI2" s="4"/>
      <c r="AJ2" s="3" t="s">
        <v>972</v>
      </c>
      <c r="AK2" s="3" t="s">
        <v>973</v>
      </c>
      <c r="AL2" s="3" t="s">
        <v>974</v>
      </c>
      <c r="AM2" s="3" t="s">
        <v>975</v>
      </c>
      <c r="AN2" s="3" t="s">
        <v>976</v>
      </c>
      <c r="AO2" s="3" t="s">
        <v>977</v>
      </c>
      <c r="AP2" s="3" t="s">
        <v>978</v>
      </c>
      <c r="AQ2" s="3" t="s">
        <v>979</v>
      </c>
      <c r="AR2" s="3" t="s">
        <v>980</v>
      </c>
      <c r="AS2" s="3" t="s">
        <v>971</v>
      </c>
      <c r="AT2" s="3" t="s">
        <v>969</v>
      </c>
      <c r="AU2" s="3" t="s">
        <v>981</v>
      </c>
      <c r="AV2" s="3" t="s">
        <v>982</v>
      </c>
      <c r="AW2" s="3" t="s">
        <v>983</v>
      </c>
      <c r="AX2" s="3" t="s">
        <v>969</v>
      </c>
      <c r="AY2" s="27">
        <v>15.99</v>
      </c>
      <c r="AZ2" s="5" t="s">
        <v>39</v>
      </c>
      <c r="BA2" s="5" t="s">
        <v>7</v>
      </c>
    </row>
    <row r="3" ht="15.75" customHeight="1">
      <c r="A3" s="24"/>
      <c r="B3" s="24">
        <v>187.0</v>
      </c>
      <c r="C3" s="21" t="s">
        <v>24</v>
      </c>
      <c r="D3" s="3" t="s">
        <v>953</v>
      </c>
      <c r="E3" s="25">
        <v>46216.12291666667</v>
      </c>
      <c r="F3" s="3" t="s">
        <v>355</v>
      </c>
      <c r="G3" s="3" t="s">
        <v>355</v>
      </c>
      <c r="H3" s="3" t="s">
        <v>471</v>
      </c>
      <c r="I3" s="3" t="s">
        <v>984</v>
      </c>
      <c r="J3" s="3" t="s">
        <v>985</v>
      </c>
      <c r="K3" s="3" t="s">
        <v>986</v>
      </c>
      <c r="L3" s="3" t="s">
        <v>987</v>
      </c>
      <c r="M3" s="26">
        <v>35297.0</v>
      </c>
      <c r="N3" s="3" t="s">
        <v>988</v>
      </c>
      <c r="O3" s="3" t="s">
        <v>989</v>
      </c>
      <c r="P3" s="3" t="s">
        <v>990</v>
      </c>
      <c r="Q3" s="4"/>
      <c r="R3" s="4"/>
      <c r="S3" s="3" t="s">
        <v>991</v>
      </c>
      <c r="T3" s="3" t="s">
        <v>992</v>
      </c>
      <c r="U3" s="3" t="s">
        <v>993</v>
      </c>
      <c r="V3" s="3" t="s">
        <v>994</v>
      </c>
      <c r="W3" s="3" t="s">
        <v>995</v>
      </c>
      <c r="X3" s="3" t="s">
        <v>996</v>
      </c>
      <c r="Y3" s="3" t="s">
        <v>971</v>
      </c>
      <c r="Z3" s="3" t="s">
        <v>997</v>
      </c>
      <c r="AA3" s="3" t="s">
        <v>969</v>
      </c>
      <c r="AB3" s="3" t="s">
        <v>998</v>
      </c>
      <c r="AC3" s="3" t="s">
        <v>6</v>
      </c>
      <c r="AD3" s="3" t="s">
        <v>999</v>
      </c>
      <c r="AE3" s="3" t="s">
        <v>1000</v>
      </c>
      <c r="AF3" s="3" t="s">
        <v>1001</v>
      </c>
      <c r="AG3" s="3" t="s">
        <v>1002</v>
      </c>
      <c r="AH3" s="3" t="s">
        <v>969</v>
      </c>
      <c r="AI3" s="3" t="s">
        <v>1003</v>
      </c>
      <c r="AJ3" s="4"/>
      <c r="AK3" s="4"/>
      <c r="AL3" s="3" t="s">
        <v>1004</v>
      </c>
      <c r="AM3" s="3" t="s">
        <v>1005</v>
      </c>
      <c r="AN3" s="3" t="s">
        <v>1006</v>
      </c>
      <c r="AO3" s="3" t="s">
        <v>1007</v>
      </c>
      <c r="AP3" s="3" t="s">
        <v>1008</v>
      </c>
      <c r="AQ3" s="3" t="s">
        <v>1009</v>
      </c>
      <c r="AR3" s="3" t="s">
        <v>1010</v>
      </c>
      <c r="AS3" s="3" t="s">
        <v>969</v>
      </c>
      <c r="AT3" s="3" t="s">
        <v>969</v>
      </c>
      <c r="AU3" s="3" t="s">
        <v>981</v>
      </c>
      <c r="AV3" s="3" t="s">
        <v>1011</v>
      </c>
      <c r="AW3" s="3" t="s">
        <v>1012</v>
      </c>
      <c r="AX3" s="3" t="s">
        <v>969</v>
      </c>
      <c r="AY3" s="27">
        <v>15.99</v>
      </c>
      <c r="AZ3" s="5" t="s">
        <v>39</v>
      </c>
      <c r="BA3" s="5" t="s">
        <v>22</v>
      </c>
    </row>
    <row r="4" ht="15.75" customHeight="1">
      <c r="A4" s="28"/>
      <c r="B4" s="28">
        <v>186.0</v>
      </c>
      <c r="C4" s="29" t="s">
        <v>39</v>
      </c>
      <c r="D4" s="30" t="s">
        <v>953</v>
      </c>
      <c r="E4" s="31">
        <v>46215.98958333334</v>
      </c>
      <c r="F4" s="30" t="s">
        <v>352</v>
      </c>
      <c r="G4" s="30" t="s">
        <v>352</v>
      </c>
      <c r="H4" s="30" t="s">
        <v>697</v>
      </c>
      <c r="I4" s="30" t="s">
        <v>1013</v>
      </c>
      <c r="J4" s="30" t="s">
        <v>1014</v>
      </c>
      <c r="K4" s="30" t="s">
        <v>1015</v>
      </c>
      <c r="L4" s="30" t="s">
        <v>1016</v>
      </c>
      <c r="M4" s="32">
        <v>34686.0</v>
      </c>
      <c r="N4" s="30" t="s">
        <v>1017</v>
      </c>
      <c r="O4" s="30" t="s">
        <v>1018</v>
      </c>
      <c r="P4" s="30" t="s">
        <v>1019</v>
      </c>
      <c r="Q4" s="33"/>
      <c r="R4" s="33"/>
      <c r="S4" s="30" t="s">
        <v>1020</v>
      </c>
      <c r="T4" s="30" t="s">
        <v>1021</v>
      </c>
      <c r="U4" s="30" t="s">
        <v>1022</v>
      </c>
      <c r="V4" s="30" t="s">
        <v>1023</v>
      </c>
      <c r="W4" s="30" t="s">
        <v>1024</v>
      </c>
      <c r="X4" s="30" t="s">
        <v>1025</v>
      </c>
      <c r="Y4" s="30" t="s">
        <v>971</v>
      </c>
      <c r="Z4" s="30" t="s">
        <v>1026</v>
      </c>
      <c r="AA4" s="30" t="s">
        <v>969</v>
      </c>
      <c r="AB4" s="30" t="s">
        <v>1027</v>
      </c>
      <c r="AC4" s="30" t="s">
        <v>969</v>
      </c>
      <c r="AD4" s="30" t="s">
        <v>1028</v>
      </c>
      <c r="AE4" s="33"/>
      <c r="AF4" s="30" t="s">
        <v>1029</v>
      </c>
      <c r="AG4" s="30" t="s">
        <v>1030</v>
      </c>
      <c r="AH4" s="30" t="s">
        <v>969</v>
      </c>
      <c r="AI4" s="30" t="s">
        <v>1031</v>
      </c>
      <c r="AJ4" s="30" t="s">
        <v>971</v>
      </c>
      <c r="AK4" s="33"/>
      <c r="AL4" s="30" t="s">
        <v>1032</v>
      </c>
      <c r="AM4" s="30" t="s">
        <v>1033</v>
      </c>
      <c r="AN4" s="30" t="s">
        <v>1034</v>
      </c>
      <c r="AO4" s="30" t="s">
        <v>1035</v>
      </c>
      <c r="AP4" s="30" t="s">
        <v>1036</v>
      </c>
      <c r="AQ4" s="30" t="s">
        <v>1037</v>
      </c>
      <c r="AR4" s="30" t="s">
        <v>1038</v>
      </c>
      <c r="AS4" s="30" t="s">
        <v>969</v>
      </c>
      <c r="AT4" s="30" t="s">
        <v>969</v>
      </c>
      <c r="AU4" s="30" t="s">
        <v>1039</v>
      </c>
      <c r="AV4" s="30" t="s">
        <v>916</v>
      </c>
      <c r="AW4" s="33"/>
      <c r="AX4" s="30" t="s">
        <v>969</v>
      </c>
      <c r="AY4" s="34">
        <v>15.99</v>
      </c>
      <c r="AZ4" s="29" t="s">
        <v>39</v>
      </c>
      <c r="BA4" s="29" t="s">
        <v>22</v>
      </c>
    </row>
    <row r="5" ht="15.75" customHeight="1">
      <c r="A5" s="28"/>
      <c r="B5" s="28">
        <v>184.0</v>
      </c>
      <c r="C5" s="29" t="s">
        <v>39</v>
      </c>
      <c r="D5" s="30" t="s">
        <v>953</v>
      </c>
      <c r="E5" s="31">
        <v>46215.89583333334</v>
      </c>
      <c r="F5" s="30" t="s">
        <v>343</v>
      </c>
      <c r="G5" s="30" t="s">
        <v>1040</v>
      </c>
      <c r="H5" s="30" t="s">
        <v>344</v>
      </c>
      <c r="I5" s="30" t="s">
        <v>1041</v>
      </c>
      <c r="J5" s="33"/>
      <c r="K5" s="30" t="s">
        <v>1042</v>
      </c>
      <c r="L5" s="30" t="s">
        <v>1043</v>
      </c>
      <c r="M5" s="32">
        <v>38360.0</v>
      </c>
      <c r="N5" s="30" t="s">
        <v>1044</v>
      </c>
      <c r="O5" s="30" t="s">
        <v>1045</v>
      </c>
      <c r="P5" s="33"/>
      <c r="Q5" s="30" t="s">
        <v>1046</v>
      </c>
      <c r="R5" s="30" t="s">
        <v>1047</v>
      </c>
      <c r="S5" s="30" t="s">
        <v>1048</v>
      </c>
      <c r="T5" s="30" t="s">
        <v>1049</v>
      </c>
      <c r="U5" s="30" t="s">
        <v>1050</v>
      </c>
      <c r="V5" s="30" t="s">
        <v>1051</v>
      </c>
      <c r="W5" s="30" t="s">
        <v>1052</v>
      </c>
      <c r="X5" s="30" t="s">
        <v>1053</v>
      </c>
      <c r="Y5" s="30" t="s">
        <v>969</v>
      </c>
      <c r="Z5" s="30" t="s">
        <v>1054</v>
      </c>
      <c r="AA5" s="30" t="s">
        <v>971</v>
      </c>
      <c r="AB5" s="33"/>
      <c r="AC5" s="30" t="s">
        <v>969</v>
      </c>
      <c r="AD5" s="30" t="s">
        <v>1055</v>
      </c>
      <c r="AE5" s="30" t="s">
        <v>1056</v>
      </c>
      <c r="AF5" s="30" t="s">
        <v>1057</v>
      </c>
      <c r="AG5" s="30" t="s">
        <v>1030</v>
      </c>
      <c r="AH5" s="30" t="s">
        <v>971</v>
      </c>
      <c r="AI5" s="33"/>
      <c r="AJ5" s="30" t="s">
        <v>1058</v>
      </c>
      <c r="AK5" s="30" t="s">
        <v>1059</v>
      </c>
      <c r="AL5" s="30" t="s">
        <v>1060</v>
      </c>
      <c r="AM5" s="30" t="s">
        <v>1061</v>
      </c>
      <c r="AN5" s="30" t="s">
        <v>1062</v>
      </c>
      <c r="AO5" s="30" t="s">
        <v>1063</v>
      </c>
      <c r="AP5" s="30" t="s">
        <v>1064</v>
      </c>
      <c r="AQ5" s="30" t="s">
        <v>1065</v>
      </c>
      <c r="AR5" s="30" t="s">
        <v>1066</v>
      </c>
      <c r="AS5" s="30" t="s">
        <v>969</v>
      </c>
      <c r="AT5" s="30" t="s">
        <v>969</v>
      </c>
      <c r="AU5" s="30" t="s">
        <v>1039</v>
      </c>
      <c r="AV5" s="30" t="s">
        <v>917</v>
      </c>
      <c r="AW5" s="33"/>
      <c r="AX5" s="30" t="s">
        <v>969</v>
      </c>
      <c r="AY5" s="34">
        <v>15.99</v>
      </c>
      <c r="AZ5" s="29" t="s">
        <v>39</v>
      </c>
      <c r="BA5" s="29" t="s">
        <v>7</v>
      </c>
    </row>
    <row r="6" ht="15.75" customHeight="1">
      <c r="A6" s="28"/>
      <c r="B6" s="28">
        <v>182.0</v>
      </c>
      <c r="C6" s="29" t="s">
        <v>39</v>
      </c>
      <c r="D6" s="30" t="s">
        <v>953</v>
      </c>
      <c r="E6" s="31">
        <v>46215.79166666666</v>
      </c>
      <c r="F6" s="30" t="s">
        <v>1067</v>
      </c>
      <c r="G6" s="30" t="s">
        <v>1068</v>
      </c>
      <c r="H6" s="30" t="s">
        <v>570</v>
      </c>
      <c r="I6" s="30" t="s">
        <v>570</v>
      </c>
      <c r="J6" s="30" t="s">
        <v>1069</v>
      </c>
      <c r="K6" s="30" t="s">
        <v>1070</v>
      </c>
      <c r="L6" s="30" t="s">
        <v>1071</v>
      </c>
      <c r="M6" s="32">
        <v>34285.0</v>
      </c>
      <c r="N6" s="30" t="s">
        <v>1072</v>
      </c>
      <c r="O6" s="30" t="s">
        <v>1071</v>
      </c>
      <c r="P6" s="30" t="s">
        <v>1073</v>
      </c>
      <c r="Q6" s="33"/>
      <c r="R6" s="33"/>
      <c r="S6" s="30" t="s">
        <v>1074</v>
      </c>
      <c r="T6" s="30" t="s">
        <v>1075</v>
      </c>
      <c r="U6" s="30" t="s">
        <v>1076</v>
      </c>
      <c r="V6" s="30" t="s">
        <v>1077</v>
      </c>
      <c r="W6" s="30" t="s">
        <v>1078</v>
      </c>
      <c r="X6" s="30" t="s">
        <v>1079</v>
      </c>
      <c r="Y6" s="30" t="s">
        <v>969</v>
      </c>
      <c r="Z6" s="30" t="s">
        <v>1080</v>
      </c>
      <c r="AA6" s="30" t="s">
        <v>971</v>
      </c>
      <c r="AB6" s="33"/>
      <c r="AC6" s="30" t="s">
        <v>969</v>
      </c>
      <c r="AD6" s="30" t="s">
        <v>1081</v>
      </c>
      <c r="AE6" s="33"/>
      <c r="AF6" s="33"/>
      <c r="AG6" s="33"/>
      <c r="AH6" s="30" t="s">
        <v>969</v>
      </c>
      <c r="AI6" s="30" t="s">
        <v>1082</v>
      </c>
      <c r="AJ6" s="30" t="s">
        <v>971</v>
      </c>
      <c r="AK6" s="33"/>
      <c r="AL6" s="30" t="s">
        <v>1083</v>
      </c>
      <c r="AM6" s="30" t="s">
        <v>1084</v>
      </c>
      <c r="AN6" s="30" t="s">
        <v>1085</v>
      </c>
      <c r="AO6" s="30" t="s">
        <v>1086</v>
      </c>
      <c r="AP6" s="30" t="s">
        <v>1087</v>
      </c>
      <c r="AQ6" s="30" t="s">
        <v>1088</v>
      </c>
      <c r="AR6" s="30" t="s">
        <v>1089</v>
      </c>
      <c r="AS6" s="30" t="s">
        <v>969</v>
      </c>
      <c r="AT6" s="30" t="s">
        <v>969</v>
      </c>
      <c r="AU6" s="30" t="s">
        <v>1039</v>
      </c>
      <c r="AV6" s="30" t="s">
        <v>1090</v>
      </c>
      <c r="AW6" s="30" t="s">
        <v>1091</v>
      </c>
      <c r="AX6" s="30" t="s">
        <v>969</v>
      </c>
      <c r="AY6" s="34">
        <v>15.99</v>
      </c>
      <c r="AZ6" s="29" t="s">
        <v>39</v>
      </c>
      <c r="BA6" s="29" t="s">
        <v>22</v>
      </c>
    </row>
    <row r="7" ht="15.75" customHeight="1">
      <c r="A7" s="28"/>
      <c r="B7" s="28">
        <v>175.0</v>
      </c>
      <c r="C7" s="29" t="s">
        <v>39</v>
      </c>
      <c r="D7" s="30" t="s">
        <v>953</v>
      </c>
      <c r="E7" s="31">
        <v>46214.18958333333</v>
      </c>
      <c r="F7" s="30" t="s">
        <v>329</v>
      </c>
      <c r="G7" s="30" t="s">
        <v>329</v>
      </c>
      <c r="H7" s="30" t="s">
        <v>632</v>
      </c>
      <c r="I7" s="30" t="s">
        <v>1092</v>
      </c>
      <c r="J7" s="30" t="s">
        <v>1093</v>
      </c>
      <c r="K7" s="30" t="s">
        <v>1094</v>
      </c>
      <c r="L7" s="30" t="s">
        <v>1095</v>
      </c>
      <c r="M7" s="32">
        <v>38525.0</v>
      </c>
      <c r="N7" s="30" t="s">
        <v>1096</v>
      </c>
      <c r="O7" s="30" t="s">
        <v>1097</v>
      </c>
      <c r="P7" s="33"/>
      <c r="Q7" s="33"/>
      <c r="R7" s="33"/>
      <c r="S7" s="30" t="s">
        <v>1098</v>
      </c>
      <c r="T7" s="30" t="s">
        <v>1099</v>
      </c>
      <c r="U7" s="30" t="s">
        <v>1100</v>
      </c>
      <c r="V7" s="30" t="s">
        <v>1101</v>
      </c>
      <c r="W7" s="30" t="s">
        <v>1102</v>
      </c>
      <c r="X7" s="30" t="s">
        <v>1103</v>
      </c>
      <c r="Y7" s="30" t="s">
        <v>969</v>
      </c>
      <c r="Z7" s="30" t="s">
        <v>1104</v>
      </c>
      <c r="AA7" s="30" t="s">
        <v>969</v>
      </c>
      <c r="AB7" s="30" t="s">
        <v>1105</v>
      </c>
      <c r="AC7" s="33"/>
      <c r="AD7" s="30" t="s">
        <v>1106</v>
      </c>
      <c r="AE7" s="30" t="s">
        <v>1107</v>
      </c>
      <c r="AF7" s="30" t="s">
        <v>1108</v>
      </c>
      <c r="AG7" s="30" t="s">
        <v>1002</v>
      </c>
      <c r="AH7" s="30" t="s">
        <v>971</v>
      </c>
      <c r="AI7" s="33"/>
      <c r="AJ7" s="33"/>
      <c r="AK7" s="33"/>
      <c r="AL7" s="33"/>
      <c r="AM7" s="30" t="s">
        <v>1109</v>
      </c>
      <c r="AN7" s="30" t="s">
        <v>1110</v>
      </c>
      <c r="AO7" s="30" t="s">
        <v>1111</v>
      </c>
      <c r="AP7" s="30" t="s">
        <v>1112</v>
      </c>
      <c r="AQ7" s="30" t="s">
        <v>1113</v>
      </c>
      <c r="AR7" s="30" t="s">
        <v>1114</v>
      </c>
      <c r="AS7" s="30" t="s">
        <v>969</v>
      </c>
      <c r="AT7" s="30" t="s">
        <v>969</v>
      </c>
      <c r="AU7" s="33"/>
      <c r="AV7" s="30" t="s">
        <v>918</v>
      </c>
      <c r="AW7" s="30" t="s">
        <v>1115</v>
      </c>
      <c r="AX7" s="30" t="s">
        <v>969</v>
      </c>
      <c r="AY7" s="34">
        <v>15.99</v>
      </c>
      <c r="AZ7" s="29" t="s">
        <v>39</v>
      </c>
      <c r="BA7" s="29" t="s">
        <v>22</v>
      </c>
    </row>
    <row r="8" ht="15.75" customHeight="1">
      <c r="A8" s="28"/>
      <c r="B8" s="28">
        <v>158.0</v>
      </c>
      <c r="C8" s="29" t="s">
        <v>39</v>
      </c>
      <c r="D8" s="30" t="s">
        <v>953</v>
      </c>
      <c r="E8" s="31">
        <v>46208.99861111111</v>
      </c>
      <c r="F8" s="30" t="s">
        <v>288</v>
      </c>
      <c r="G8" s="30" t="s">
        <v>288</v>
      </c>
      <c r="H8" s="30" t="s">
        <v>516</v>
      </c>
      <c r="I8" s="30" t="s">
        <v>1116</v>
      </c>
      <c r="J8" s="30" t="s">
        <v>1117</v>
      </c>
      <c r="K8" s="30" t="s">
        <v>189</v>
      </c>
      <c r="L8" s="30" t="s">
        <v>1118</v>
      </c>
      <c r="M8" s="32">
        <v>37611.0</v>
      </c>
      <c r="N8" s="30" t="s">
        <v>1119</v>
      </c>
      <c r="O8" s="30" t="s">
        <v>1120</v>
      </c>
      <c r="P8" s="30" t="s">
        <v>1121</v>
      </c>
      <c r="Q8" s="33"/>
      <c r="R8" s="33"/>
      <c r="S8" s="30" t="s">
        <v>1122</v>
      </c>
      <c r="T8" s="30" t="s">
        <v>1123</v>
      </c>
      <c r="U8" s="30" t="s">
        <v>1124</v>
      </c>
      <c r="V8" s="30" t="s">
        <v>1125</v>
      </c>
      <c r="W8" s="30" t="s">
        <v>1126</v>
      </c>
      <c r="X8" s="30" t="s">
        <v>1127</v>
      </c>
      <c r="Y8" s="30" t="s">
        <v>971</v>
      </c>
      <c r="Z8" s="30" t="s">
        <v>1128</v>
      </c>
      <c r="AA8" s="30" t="s">
        <v>971</v>
      </c>
      <c r="AB8" s="33"/>
      <c r="AC8" s="30" t="s">
        <v>1129</v>
      </c>
      <c r="AD8" s="30" t="s">
        <v>1130</v>
      </c>
      <c r="AE8" s="30" t="s">
        <v>1131</v>
      </c>
      <c r="AF8" s="30" t="s">
        <v>1132</v>
      </c>
      <c r="AG8" s="30" t="s">
        <v>1133</v>
      </c>
      <c r="AH8" s="30" t="s">
        <v>969</v>
      </c>
      <c r="AI8" s="30" t="s">
        <v>1134</v>
      </c>
      <c r="AJ8" s="30" t="s">
        <v>1135</v>
      </c>
      <c r="AK8" s="30" t="s">
        <v>1136</v>
      </c>
      <c r="AL8" s="30" t="s">
        <v>1137</v>
      </c>
      <c r="AM8" s="30" t="s">
        <v>1138</v>
      </c>
      <c r="AN8" s="30" t="s">
        <v>1139</v>
      </c>
      <c r="AO8" s="30" t="s">
        <v>1140</v>
      </c>
      <c r="AP8" s="30" t="s">
        <v>1141</v>
      </c>
      <c r="AQ8" s="30" t="s">
        <v>1142</v>
      </c>
      <c r="AR8" s="30" t="s">
        <v>1143</v>
      </c>
      <c r="AS8" s="30" t="s">
        <v>969</v>
      </c>
      <c r="AT8" s="30" t="s">
        <v>969</v>
      </c>
      <c r="AU8" s="30" t="s">
        <v>1039</v>
      </c>
      <c r="AV8" s="30" t="s">
        <v>1144</v>
      </c>
      <c r="AW8" s="33"/>
      <c r="AX8" s="30" t="s">
        <v>969</v>
      </c>
      <c r="AY8" s="34">
        <v>15.99</v>
      </c>
      <c r="AZ8" s="29" t="s">
        <v>39</v>
      </c>
      <c r="BA8" s="29" t="s">
        <v>22</v>
      </c>
    </row>
    <row r="9" ht="15.75" customHeight="1">
      <c r="A9" s="28"/>
      <c r="B9" s="28">
        <v>132.0</v>
      </c>
      <c r="C9" s="29" t="s">
        <v>39</v>
      </c>
      <c r="D9" s="30" t="s">
        <v>953</v>
      </c>
      <c r="E9" s="31">
        <v>46208.76944444444</v>
      </c>
      <c r="F9" s="30" t="s">
        <v>221</v>
      </c>
      <c r="G9" s="30" t="s">
        <v>221</v>
      </c>
      <c r="H9" s="30" t="s">
        <v>682</v>
      </c>
      <c r="I9" s="30" t="s">
        <v>1145</v>
      </c>
      <c r="J9" s="30" t="s">
        <v>1146</v>
      </c>
      <c r="K9" s="30" t="s">
        <v>1147</v>
      </c>
      <c r="L9" s="30" t="s">
        <v>1148</v>
      </c>
      <c r="M9" s="32">
        <v>38351.0</v>
      </c>
      <c r="N9" s="30" t="s">
        <v>1149</v>
      </c>
      <c r="O9" s="30" t="s">
        <v>1150</v>
      </c>
      <c r="P9" s="30" t="s">
        <v>1151</v>
      </c>
      <c r="Q9" s="33"/>
      <c r="R9" s="33"/>
      <c r="S9" s="30" t="s">
        <v>1152</v>
      </c>
      <c r="T9" s="30" t="s">
        <v>1153</v>
      </c>
      <c r="U9" s="30" t="s">
        <v>1154</v>
      </c>
      <c r="V9" s="30" t="s">
        <v>1155</v>
      </c>
      <c r="W9" s="33"/>
      <c r="X9" s="30" t="s">
        <v>1156</v>
      </c>
      <c r="Y9" s="30" t="s">
        <v>969</v>
      </c>
      <c r="Z9" s="30" t="s">
        <v>1157</v>
      </c>
      <c r="AA9" s="30" t="s">
        <v>969</v>
      </c>
      <c r="AB9" s="30" t="s">
        <v>1158</v>
      </c>
      <c r="AC9" s="30" t="s">
        <v>1159</v>
      </c>
      <c r="AD9" s="30" t="s">
        <v>1160</v>
      </c>
      <c r="AE9" s="30" t="s">
        <v>1161</v>
      </c>
      <c r="AF9" s="30" t="s">
        <v>1162</v>
      </c>
      <c r="AG9" s="30" t="s">
        <v>1030</v>
      </c>
      <c r="AH9" s="30" t="s">
        <v>971</v>
      </c>
      <c r="AI9" s="33"/>
      <c r="AJ9" s="33"/>
      <c r="AK9" s="33"/>
      <c r="AL9" s="30" t="s">
        <v>1163</v>
      </c>
      <c r="AM9" s="30" t="s">
        <v>1164</v>
      </c>
      <c r="AN9" s="30" t="s">
        <v>1165</v>
      </c>
      <c r="AO9" s="30" t="s">
        <v>1166</v>
      </c>
      <c r="AP9" s="30" t="s">
        <v>1167</v>
      </c>
      <c r="AQ9" s="30" t="s">
        <v>1168</v>
      </c>
      <c r="AR9" s="30" t="s">
        <v>1169</v>
      </c>
      <c r="AS9" s="30" t="s">
        <v>969</v>
      </c>
      <c r="AT9" s="30" t="s">
        <v>969</v>
      </c>
      <c r="AU9" s="30" t="s">
        <v>1039</v>
      </c>
      <c r="AV9" s="30" t="s">
        <v>1170</v>
      </c>
      <c r="AW9" s="30" t="s">
        <v>1171</v>
      </c>
      <c r="AX9" s="30" t="s">
        <v>969</v>
      </c>
      <c r="AY9" s="34">
        <v>15.99</v>
      </c>
      <c r="AZ9" s="29" t="s">
        <v>39</v>
      </c>
      <c r="BA9" s="29" t="s">
        <v>22</v>
      </c>
    </row>
    <row r="10" ht="15.75" customHeight="1">
      <c r="A10" s="35"/>
      <c r="B10" s="35">
        <v>119.0</v>
      </c>
      <c r="C10" s="36" t="s">
        <v>24</v>
      </c>
      <c r="D10" s="37" t="s">
        <v>953</v>
      </c>
      <c r="E10" s="38">
        <v>46208.55972222222</v>
      </c>
      <c r="F10" s="37" t="s">
        <v>203</v>
      </c>
      <c r="G10" s="37" t="s">
        <v>1172</v>
      </c>
      <c r="H10" s="37" t="s">
        <v>204</v>
      </c>
      <c r="I10" s="37" t="s">
        <v>1173</v>
      </c>
      <c r="J10" s="37" t="s">
        <v>1174</v>
      </c>
      <c r="K10" s="37" t="s">
        <v>1175</v>
      </c>
      <c r="L10" s="37" t="s">
        <v>1176</v>
      </c>
      <c r="M10" s="39">
        <v>37947.0</v>
      </c>
      <c r="N10" s="37" t="s">
        <v>1177</v>
      </c>
      <c r="O10" s="37" t="s">
        <v>1178</v>
      </c>
      <c r="P10" s="37" t="s">
        <v>1179</v>
      </c>
      <c r="Q10" s="37" t="s">
        <v>1180</v>
      </c>
      <c r="R10" s="37" t="s">
        <v>1181</v>
      </c>
      <c r="S10" s="37" t="s">
        <v>1182</v>
      </c>
      <c r="T10" s="37" t="s">
        <v>1183</v>
      </c>
      <c r="U10" s="37" t="s">
        <v>1184</v>
      </c>
      <c r="V10" s="37" t="s">
        <v>1185</v>
      </c>
      <c r="W10" s="37" t="s">
        <v>1186</v>
      </c>
      <c r="X10" s="37" t="s">
        <v>1187</v>
      </c>
      <c r="Y10" s="37" t="s">
        <v>969</v>
      </c>
      <c r="Z10" s="37" t="s">
        <v>1188</v>
      </c>
      <c r="AA10" s="37" t="s">
        <v>969</v>
      </c>
      <c r="AB10" s="37" t="s">
        <v>1189</v>
      </c>
      <c r="AC10" s="37" t="s">
        <v>1190</v>
      </c>
      <c r="AD10" s="37" t="s">
        <v>1191</v>
      </c>
      <c r="AE10" s="37" t="s">
        <v>1192</v>
      </c>
      <c r="AF10" s="37" t="s">
        <v>1193</v>
      </c>
      <c r="AG10" s="37" t="s">
        <v>1194</v>
      </c>
      <c r="AH10" s="37" t="s">
        <v>971</v>
      </c>
      <c r="AI10" s="37" t="s">
        <v>1181</v>
      </c>
      <c r="AJ10" s="37" t="s">
        <v>1181</v>
      </c>
      <c r="AK10" s="37" t="s">
        <v>1181</v>
      </c>
      <c r="AL10" s="37" t="s">
        <v>1195</v>
      </c>
      <c r="AM10" s="37" t="s">
        <v>1196</v>
      </c>
      <c r="AN10" s="37" t="s">
        <v>1197</v>
      </c>
      <c r="AO10" s="37" t="s">
        <v>1198</v>
      </c>
      <c r="AP10" s="37" t="s">
        <v>1199</v>
      </c>
      <c r="AQ10" s="37" t="s">
        <v>1200</v>
      </c>
      <c r="AR10" s="37" t="s">
        <v>1201</v>
      </c>
      <c r="AS10" s="37" t="s">
        <v>969</v>
      </c>
      <c r="AT10" s="37" t="s">
        <v>969</v>
      </c>
      <c r="AU10" s="37" t="s">
        <v>1039</v>
      </c>
      <c r="AV10" s="37" t="s">
        <v>1202</v>
      </c>
      <c r="AW10" s="37" t="s">
        <v>1203</v>
      </c>
      <c r="AX10" s="37" t="s">
        <v>969</v>
      </c>
      <c r="AY10" s="40">
        <v>15.99</v>
      </c>
      <c r="AZ10" s="41" t="s">
        <v>39</v>
      </c>
      <c r="BA10" s="41" t="s">
        <v>7</v>
      </c>
    </row>
    <row r="11" ht="15.75" customHeight="1">
      <c r="A11" s="28"/>
      <c r="B11" s="28">
        <v>98.0</v>
      </c>
      <c r="C11" s="29" t="s">
        <v>39</v>
      </c>
      <c r="D11" s="30" t="s">
        <v>953</v>
      </c>
      <c r="E11" s="31">
        <v>46205.06597222222</v>
      </c>
      <c r="F11" s="30" t="s">
        <v>166</v>
      </c>
      <c r="G11" s="30" t="s">
        <v>166</v>
      </c>
      <c r="H11" s="30" t="s">
        <v>439</v>
      </c>
      <c r="I11" s="30" t="s">
        <v>1204</v>
      </c>
      <c r="J11" s="30" t="s">
        <v>1205</v>
      </c>
      <c r="K11" s="30" t="s">
        <v>1206</v>
      </c>
      <c r="L11" s="30" t="s">
        <v>1207</v>
      </c>
      <c r="M11" s="32">
        <v>38713.0</v>
      </c>
      <c r="N11" s="30" t="s">
        <v>1208</v>
      </c>
      <c r="O11" s="30" t="s">
        <v>1209</v>
      </c>
      <c r="P11" s="30" t="s">
        <v>1210</v>
      </c>
      <c r="Q11" s="30" t="s">
        <v>1211</v>
      </c>
      <c r="R11" s="33"/>
      <c r="S11" s="30" t="s">
        <v>1212</v>
      </c>
      <c r="T11" s="30" t="s">
        <v>1213</v>
      </c>
      <c r="U11" s="30" t="s">
        <v>1050</v>
      </c>
      <c r="V11" s="30" t="s">
        <v>1214</v>
      </c>
      <c r="W11" s="30" t="s">
        <v>1215</v>
      </c>
      <c r="X11" s="30" t="s">
        <v>1216</v>
      </c>
      <c r="Y11" s="30" t="s">
        <v>969</v>
      </c>
      <c r="Z11" s="30" t="s">
        <v>1217</v>
      </c>
      <c r="AA11" s="30" t="s">
        <v>971</v>
      </c>
      <c r="AB11" s="33"/>
      <c r="AC11" s="30" t="s">
        <v>1218</v>
      </c>
      <c r="AD11" s="30" t="s">
        <v>1219</v>
      </c>
      <c r="AE11" s="30" t="s">
        <v>1220</v>
      </c>
      <c r="AF11" s="30" t="s">
        <v>1221</v>
      </c>
      <c r="AG11" s="30" t="s">
        <v>1222</v>
      </c>
      <c r="AH11" s="30" t="s">
        <v>971</v>
      </c>
      <c r="AI11" s="30" t="s">
        <v>1223</v>
      </c>
      <c r="AJ11" s="30" t="s">
        <v>1224</v>
      </c>
      <c r="AK11" s="30" t="s">
        <v>1225</v>
      </c>
      <c r="AL11" s="30" t="s">
        <v>1226</v>
      </c>
      <c r="AM11" s="30" t="s">
        <v>1227</v>
      </c>
      <c r="AN11" s="30" t="s">
        <v>1228</v>
      </c>
      <c r="AO11" s="30" t="s">
        <v>1229</v>
      </c>
      <c r="AP11" s="30" t="s">
        <v>1230</v>
      </c>
      <c r="AQ11" s="30" t="s">
        <v>1231</v>
      </c>
      <c r="AR11" s="30" t="s">
        <v>1232</v>
      </c>
      <c r="AS11" s="30" t="s">
        <v>969</v>
      </c>
      <c r="AT11" s="30" t="s">
        <v>969</v>
      </c>
      <c r="AU11" s="30" t="s">
        <v>1233</v>
      </c>
      <c r="AV11" s="30" t="s">
        <v>1234</v>
      </c>
      <c r="AW11" s="30" t="s">
        <v>1235</v>
      </c>
      <c r="AX11" s="30" t="s">
        <v>969</v>
      </c>
      <c r="AY11" s="34">
        <v>15.99</v>
      </c>
      <c r="AZ11" s="29" t="s">
        <v>39</v>
      </c>
      <c r="BA11" s="29" t="s">
        <v>22</v>
      </c>
    </row>
    <row r="12" ht="15.75" customHeight="1">
      <c r="A12" s="28"/>
      <c r="B12" s="28">
        <v>73.0</v>
      </c>
      <c r="C12" s="29" t="s">
        <v>39</v>
      </c>
      <c r="D12" s="30" t="s">
        <v>953</v>
      </c>
      <c r="E12" s="31">
        <v>46199.67013888889</v>
      </c>
      <c r="F12" s="30" t="s">
        <v>126</v>
      </c>
      <c r="G12" s="30" t="s">
        <v>126</v>
      </c>
      <c r="H12" s="30" t="s">
        <v>531</v>
      </c>
      <c r="I12" s="30" t="s">
        <v>1236</v>
      </c>
      <c r="J12" s="30" t="s">
        <v>1237</v>
      </c>
      <c r="K12" s="30" t="s">
        <v>1238</v>
      </c>
      <c r="L12" s="30" t="s">
        <v>1239</v>
      </c>
      <c r="M12" s="32">
        <v>35596.0</v>
      </c>
      <c r="N12" s="30" t="s">
        <v>1240</v>
      </c>
      <c r="O12" s="30" t="s">
        <v>1241</v>
      </c>
      <c r="P12" s="33"/>
      <c r="Q12" s="33"/>
      <c r="R12" s="33"/>
      <c r="S12" s="30" t="s">
        <v>1242</v>
      </c>
      <c r="T12" s="30" t="s">
        <v>1243</v>
      </c>
      <c r="U12" s="30" t="s">
        <v>1244</v>
      </c>
      <c r="V12" s="30" t="s">
        <v>1245</v>
      </c>
      <c r="W12" s="33"/>
      <c r="X12" s="30" t="s">
        <v>1246</v>
      </c>
      <c r="Y12" s="30" t="s">
        <v>969</v>
      </c>
      <c r="Z12" s="30" t="s">
        <v>1247</v>
      </c>
      <c r="AA12" s="30" t="s">
        <v>971</v>
      </c>
      <c r="AB12" s="33"/>
      <c r="AC12" s="30" t="s">
        <v>969</v>
      </c>
      <c r="AD12" s="30" t="s">
        <v>1248</v>
      </c>
      <c r="AE12" s="30" t="s">
        <v>1249</v>
      </c>
      <c r="AF12" s="30" t="s">
        <v>1250</v>
      </c>
      <c r="AG12" s="30" t="s">
        <v>1002</v>
      </c>
      <c r="AH12" s="30" t="s">
        <v>971</v>
      </c>
      <c r="AI12" s="33"/>
      <c r="AJ12" s="30" t="s">
        <v>1251</v>
      </c>
      <c r="AK12" s="30" t="s">
        <v>1252</v>
      </c>
      <c r="AL12" s="30" t="s">
        <v>1253</v>
      </c>
      <c r="AM12" s="30" t="s">
        <v>1254</v>
      </c>
      <c r="AN12" s="30" t="s">
        <v>1255</v>
      </c>
      <c r="AO12" s="30" t="s">
        <v>1256</v>
      </c>
      <c r="AP12" s="30" t="s">
        <v>1257</v>
      </c>
      <c r="AQ12" s="30" t="s">
        <v>1258</v>
      </c>
      <c r="AR12" s="30" t="s">
        <v>1259</v>
      </c>
      <c r="AS12" s="30" t="s">
        <v>969</v>
      </c>
      <c r="AT12" s="30" t="s">
        <v>969</v>
      </c>
      <c r="AU12" s="30" t="s">
        <v>1260</v>
      </c>
      <c r="AV12" s="30" t="s">
        <v>1261</v>
      </c>
      <c r="AW12" s="30" t="s">
        <v>1262</v>
      </c>
      <c r="AX12" s="30" t="s">
        <v>969</v>
      </c>
      <c r="AY12" s="34">
        <v>15.99</v>
      </c>
      <c r="AZ12" s="29" t="s">
        <v>39</v>
      </c>
      <c r="BA12" s="29" t="s">
        <v>22</v>
      </c>
    </row>
    <row r="13" ht="15.75" customHeight="1">
      <c r="A13" s="28"/>
      <c r="B13" s="28">
        <v>43.0</v>
      </c>
      <c r="C13" s="29" t="s">
        <v>39</v>
      </c>
      <c r="D13" s="30" t="s">
        <v>953</v>
      </c>
      <c r="E13" s="31">
        <v>46189.72361111111</v>
      </c>
      <c r="F13" s="30" t="s">
        <v>63</v>
      </c>
      <c r="G13" s="30" t="s">
        <v>63</v>
      </c>
      <c r="H13" s="30" t="s">
        <v>622</v>
      </c>
      <c r="I13" s="30" t="s">
        <v>1263</v>
      </c>
      <c r="J13" s="30" t="s">
        <v>1264</v>
      </c>
      <c r="K13" s="30" t="s">
        <v>130</v>
      </c>
      <c r="L13" s="30" t="s">
        <v>1265</v>
      </c>
      <c r="M13" s="32">
        <v>36639.0</v>
      </c>
      <c r="N13" s="30" t="s">
        <v>1266</v>
      </c>
      <c r="O13" s="30" t="s">
        <v>1267</v>
      </c>
      <c r="P13" s="30" t="s">
        <v>1268</v>
      </c>
      <c r="Q13" s="33"/>
      <c r="R13" s="33"/>
      <c r="S13" s="30" t="s">
        <v>1269</v>
      </c>
      <c r="T13" s="30" t="s">
        <v>1270</v>
      </c>
      <c r="U13" s="30" t="s">
        <v>1271</v>
      </c>
      <c r="V13" s="30" t="s">
        <v>1272</v>
      </c>
      <c r="W13" s="30" t="s">
        <v>1273</v>
      </c>
      <c r="X13" s="30" t="s">
        <v>1274</v>
      </c>
      <c r="Y13" s="30" t="s">
        <v>969</v>
      </c>
      <c r="Z13" s="30" t="s">
        <v>1275</v>
      </c>
      <c r="AA13" s="30" t="s">
        <v>971</v>
      </c>
      <c r="AB13" s="33"/>
      <c r="AC13" s="30" t="s">
        <v>1276</v>
      </c>
      <c r="AD13" s="30" t="s">
        <v>1277</v>
      </c>
      <c r="AE13" s="30" t="s">
        <v>1278</v>
      </c>
      <c r="AF13" s="30" t="s">
        <v>1279</v>
      </c>
      <c r="AG13" s="30" t="s">
        <v>1030</v>
      </c>
      <c r="AH13" s="30" t="s">
        <v>971</v>
      </c>
      <c r="AI13" s="33"/>
      <c r="AJ13" s="30" t="s">
        <v>971</v>
      </c>
      <c r="AK13" s="33"/>
      <c r="AL13" s="30" t="s">
        <v>1280</v>
      </c>
      <c r="AM13" s="30" t="s">
        <v>1281</v>
      </c>
      <c r="AN13" s="30" t="s">
        <v>1282</v>
      </c>
      <c r="AO13" s="30" t="s">
        <v>1283</v>
      </c>
      <c r="AP13" s="30" t="s">
        <v>1284</v>
      </c>
      <c r="AQ13" s="30" t="s">
        <v>1285</v>
      </c>
      <c r="AR13" s="30" t="s">
        <v>1286</v>
      </c>
      <c r="AS13" s="30" t="s">
        <v>969</v>
      </c>
      <c r="AT13" s="30" t="s">
        <v>969</v>
      </c>
      <c r="AU13" s="30" t="s">
        <v>1039</v>
      </c>
      <c r="AV13" s="30" t="s">
        <v>1287</v>
      </c>
      <c r="AW13" s="30" t="s">
        <v>1288</v>
      </c>
      <c r="AX13" s="30" t="s">
        <v>969</v>
      </c>
      <c r="AY13" s="34">
        <v>15.99</v>
      </c>
      <c r="AZ13" s="29" t="s">
        <v>39</v>
      </c>
      <c r="BA13" s="29" t="s">
        <v>22</v>
      </c>
    </row>
    <row r="14" ht="15.75" customHeight="1">
      <c r="A14" s="28"/>
      <c r="B14" s="28">
        <v>27.0</v>
      </c>
      <c r="C14" s="29" t="s">
        <v>39</v>
      </c>
      <c r="D14" s="30" t="s">
        <v>953</v>
      </c>
      <c r="E14" s="31">
        <v>46185.00277777778</v>
      </c>
      <c r="F14" s="30" t="s">
        <v>847</v>
      </c>
      <c r="G14" s="30" t="s">
        <v>1289</v>
      </c>
      <c r="H14" s="30" t="s">
        <v>42</v>
      </c>
      <c r="I14" s="30" t="s">
        <v>1290</v>
      </c>
      <c r="J14" s="33"/>
      <c r="K14" s="30" t="s">
        <v>1291</v>
      </c>
      <c r="L14" s="30" t="s">
        <v>1292</v>
      </c>
      <c r="M14" s="32">
        <v>33418.0</v>
      </c>
      <c r="N14" s="30" t="s">
        <v>1293</v>
      </c>
      <c r="O14" s="30" t="s">
        <v>1292</v>
      </c>
      <c r="P14" s="33"/>
      <c r="Q14" s="30" t="s">
        <v>1294</v>
      </c>
      <c r="R14" s="33"/>
      <c r="S14" s="30" t="s">
        <v>1295</v>
      </c>
      <c r="T14" s="30" t="s">
        <v>1296</v>
      </c>
      <c r="U14" s="30" t="s">
        <v>1297</v>
      </c>
      <c r="V14" s="30" t="s">
        <v>1298</v>
      </c>
      <c r="W14" s="33"/>
      <c r="X14" s="30" t="s">
        <v>1299</v>
      </c>
      <c r="Y14" s="30" t="s">
        <v>971</v>
      </c>
      <c r="Z14" s="33"/>
      <c r="AA14" s="30" t="s">
        <v>971</v>
      </c>
      <c r="AB14" s="33"/>
      <c r="AC14" s="30" t="s">
        <v>969</v>
      </c>
      <c r="AD14" s="30" t="s">
        <v>1300</v>
      </c>
      <c r="AE14" s="33"/>
      <c r="AF14" s="30" t="s">
        <v>1301</v>
      </c>
      <c r="AG14" s="30" t="s">
        <v>1302</v>
      </c>
      <c r="AH14" s="30" t="s">
        <v>971</v>
      </c>
      <c r="AI14" s="33"/>
      <c r="AJ14" s="30" t="s">
        <v>1303</v>
      </c>
      <c r="AK14" s="30" t="s">
        <v>1304</v>
      </c>
      <c r="AL14" s="30" t="s">
        <v>1305</v>
      </c>
      <c r="AM14" s="30" t="s">
        <v>1306</v>
      </c>
      <c r="AN14" s="30" t="s">
        <v>1307</v>
      </c>
      <c r="AO14" s="30" t="s">
        <v>1308</v>
      </c>
      <c r="AP14" s="30" t="s">
        <v>1309</v>
      </c>
      <c r="AQ14" s="30" t="s">
        <v>1310</v>
      </c>
      <c r="AR14" s="30" t="s">
        <v>1311</v>
      </c>
      <c r="AS14" s="30" t="s">
        <v>969</v>
      </c>
      <c r="AT14" s="30" t="s">
        <v>969</v>
      </c>
      <c r="AU14" s="30" t="s">
        <v>1233</v>
      </c>
      <c r="AV14" s="30" t="s">
        <v>1287</v>
      </c>
      <c r="AW14" s="33"/>
      <c r="AX14" s="30" t="s">
        <v>969</v>
      </c>
      <c r="AY14" s="34">
        <v>15.99</v>
      </c>
      <c r="AZ14" s="29" t="s">
        <v>39</v>
      </c>
      <c r="BA14" s="29" t="s">
        <v>43</v>
      </c>
    </row>
    <row r="15" ht="15.75" customHeight="1">
      <c r="A15" s="24"/>
      <c r="B15" s="24">
        <v>189.0</v>
      </c>
      <c r="C15" s="21" t="s">
        <v>24</v>
      </c>
      <c r="D15" s="3" t="s">
        <v>953</v>
      </c>
      <c r="E15" s="25">
        <v>46216.14652777778</v>
      </c>
      <c r="F15" s="3" t="s">
        <v>360</v>
      </c>
      <c r="G15" s="3" t="s">
        <v>1312</v>
      </c>
      <c r="H15" s="3" t="s">
        <v>491</v>
      </c>
      <c r="I15" s="3" t="s">
        <v>1313</v>
      </c>
      <c r="J15" s="4"/>
      <c r="K15" s="3" t="s">
        <v>1094</v>
      </c>
      <c r="L15" s="3" t="s">
        <v>1314</v>
      </c>
      <c r="M15" s="26">
        <v>38965.0</v>
      </c>
      <c r="N15" s="3" t="s">
        <v>1315</v>
      </c>
      <c r="O15" s="3" t="s">
        <v>1316</v>
      </c>
      <c r="P15" s="4"/>
      <c r="Q15" s="4"/>
      <c r="R15" s="4"/>
      <c r="S15" s="3" t="s">
        <v>1317</v>
      </c>
      <c r="T15" s="3" t="s">
        <v>1318</v>
      </c>
      <c r="U15" s="3" t="s">
        <v>1124</v>
      </c>
      <c r="V15" s="3" t="s">
        <v>1319</v>
      </c>
      <c r="W15" s="4"/>
      <c r="X15" s="3" t="s">
        <v>1320</v>
      </c>
      <c r="Y15" s="3" t="s">
        <v>969</v>
      </c>
      <c r="Z15" s="3" t="s">
        <v>1321</v>
      </c>
      <c r="AA15" s="3" t="s">
        <v>969</v>
      </c>
      <c r="AB15" s="3" t="s">
        <v>1322</v>
      </c>
      <c r="AC15" s="3" t="s">
        <v>969</v>
      </c>
      <c r="AD15" s="3" t="s">
        <v>1323</v>
      </c>
      <c r="AE15" s="3" t="s">
        <v>1324</v>
      </c>
      <c r="AF15" s="3" t="s">
        <v>1250</v>
      </c>
      <c r="AG15" s="3" t="s">
        <v>1325</v>
      </c>
      <c r="AH15" s="3" t="s">
        <v>971</v>
      </c>
      <c r="AI15" s="4"/>
      <c r="AJ15" s="3" t="s">
        <v>969</v>
      </c>
      <c r="AK15" s="3" t="s">
        <v>1326</v>
      </c>
      <c r="AL15" s="3" t="s">
        <v>1327</v>
      </c>
      <c r="AM15" s="3" t="s">
        <v>1328</v>
      </c>
      <c r="AN15" s="3" t="s">
        <v>1329</v>
      </c>
      <c r="AO15" s="3" t="s">
        <v>1330</v>
      </c>
      <c r="AP15" s="3" t="s">
        <v>1331</v>
      </c>
      <c r="AQ15" s="3" t="s">
        <v>1332</v>
      </c>
      <c r="AR15" s="3" t="s">
        <v>1333</v>
      </c>
      <c r="AS15" s="3" t="s">
        <v>969</v>
      </c>
      <c r="AT15" s="3" t="s">
        <v>969</v>
      </c>
      <c r="AU15" s="3" t="s">
        <v>1039</v>
      </c>
      <c r="AV15" s="3" t="s">
        <v>1144</v>
      </c>
      <c r="AW15" s="4"/>
      <c r="AX15" s="3" t="s">
        <v>969</v>
      </c>
      <c r="AY15" s="27">
        <v>15.99</v>
      </c>
      <c r="AZ15" s="5" t="s">
        <v>27</v>
      </c>
      <c r="BA15" s="5" t="s">
        <v>22</v>
      </c>
    </row>
    <row r="16" ht="15.75" customHeight="1">
      <c r="A16" s="24"/>
      <c r="B16" s="24">
        <v>185.0</v>
      </c>
      <c r="C16" s="21" t="s">
        <v>24</v>
      </c>
      <c r="D16" s="3" t="s">
        <v>953</v>
      </c>
      <c r="E16" s="25">
        <v>46215.92986111111</v>
      </c>
      <c r="F16" s="3" t="s">
        <v>349</v>
      </c>
      <c r="G16" s="3" t="s">
        <v>349</v>
      </c>
      <c r="H16" s="3" t="s">
        <v>672</v>
      </c>
      <c r="I16" s="3" t="s">
        <v>1334</v>
      </c>
      <c r="J16" s="3" t="s">
        <v>1335</v>
      </c>
      <c r="K16" s="3" t="s">
        <v>189</v>
      </c>
      <c r="L16" s="3" t="s">
        <v>1336</v>
      </c>
      <c r="M16" s="26">
        <v>37231.0</v>
      </c>
      <c r="N16" s="3" t="s">
        <v>1337</v>
      </c>
      <c r="O16" s="3" t="s">
        <v>1336</v>
      </c>
      <c r="P16" s="3" t="s">
        <v>1338</v>
      </c>
      <c r="Q16" s="3" t="s">
        <v>1339</v>
      </c>
      <c r="R16" s="4"/>
      <c r="S16" s="3" t="s">
        <v>1340</v>
      </c>
      <c r="T16" s="3" t="s">
        <v>1341</v>
      </c>
      <c r="U16" s="3" t="s">
        <v>1124</v>
      </c>
      <c r="V16" s="3" t="s">
        <v>1342</v>
      </c>
      <c r="W16" s="3" t="s">
        <v>1343</v>
      </c>
      <c r="X16" s="3" t="s">
        <v>1344</v>
      </c>
      <c r="Y16" s="3" t="s">
        <v>971</v>
      </c>
      <c r="Z16" s="3" t="s">
        <v>1128</v>
      </c>
      <c r="AA16" s="3" t="s">
        <v>971</v>
      </c>
      <c r="AB16" s="3" t="s">
        <v>1345</v>
      </c>
      <c r="AC16" s="3" t="s">
        <v>1346</v>
      </c>
      <c r="AD16" s="3" t="s">
        <v>1347</v>
      </c>
      <c r="AE16" s="3" t="s">
        <v>1348</v>
      </c>
      <c r="AF16" s="3" t="s">
        <v>1349</v>
      </c>
      <c r="AG16" s="3" t="s">
        <v>1030</v>
      </c>
      <c r="AH16" s="3" t="s">
        <v>971</v>
      </c>
      <c r="AI16" s="4"/>
      <c r="AJ16" s="3" t="s">
        <v>971</v>
      </c>
      <c r="AK16" s="4"/>
      <c r="AL16" s="3" t="s">
        <v>1350</v>
      </c>
      <c r="AM16" s="3" t="s">
        <v>1351</v>
      </c>
      <c r="AN16" s="3" t="s">
        <v>1352</v>
      </c>
      <c r="AO16" s="3" t="s">
        <v>1353</v>
      </c>
      <c r="AP16" s="3" t="s">
        <v>1354</v>
      </c>
      <c r="AQ16" s="3" t="s">
        <v>1355</v>
      </c>
      <c r="AR16" s="3" t="s">
        <v>1356</v>
      </c>
      <c r="AS16" s="3" t="s">
        <v>969</v>
      </c>
      <c r="AT16" s="3" t="s">
        <v>969</v>
      </c>
      <c r="AU16" s="3" t="s">
        <v>1260</v>
      </c>
      <c r="AV16" s="3" t="s">
        <v>1357</v>
      </c>
      <c r="AW16" s="3" t="s">
        <v>1288</v>
      </c>
      <c r="AX16" s="3" t="s">
        <v>969</v>
      </c>
      <c r="AY16" s="27">
        <v>15.99</v>
      </c>
      <c r="AZ16" s="5" t="s">
        <v>27</v>
      </c>
      <c r="BA16" s="5" t="s">
        <v>22</v>
      </c>
    </row>
    <row r="17" ht="15.75" customHeight="1">
      <c r="A17" s="24"/>
      <c r="B17" s="24">
        <v>172.0</v>
      </c>
      <c r="C17" s="21" t="s">
        <v>24</v>
      </c>
      <c r="D17" s="3" t="s">
        <v>953</v>
      </c>
      <c r="E17" s="25">
        <v>46211.80416666667</v>
      </c>
      <c r="F17" s="3" t="s">
        <v>325</v>
      </c>
      <c r="G17" s="3" t="s">
        <v>1358</v>
      </c>
      <c r="H17" s="3" t="s">
        <v>810</v>
      </c>
      <c r="I17" s="3" t="s">
        <v>1359</v>
      </c>
      <c r="J17" s="3" t="s">
        <v>1360</v>
      </c>
      <c r="K17" s="3" t="s">
        <v>1361</v>
      </c>
      <c r="L17" s="3" t="s">
        <v>1362</v>
      </c>
      <c r="M17" s="26">
        <v>37341.0</v>
      </c>
      <c r="N17" s="3" t="s">
        <v>1363</v>
      </c>
      <c r="O17" s="3" t="s">
        <v>1364</v>
      </c>
      <c r="P17" s="3" t="s">
        <v>1365</v>
      </c>
      <c r="Q17" s="3" t="s">
        <v>1366</v>
      </c>
      <c r="R17" s="3" t="s">
        <v>1367</v>
      </c>
      <c r="S17" s="3" t="s">
        <v>1368</v>
      </c>
      <c r="T17" s="3" t="s">
        <v>1369</v>
      </c>
      <c r="U17" s="3" t="s">
        <v>1370</v>
      </c>
      <c r="V17" s="3" t="s">
        <v>1371</v>
      </c>
      <c r="W17" s="4"/>
      <c r="X17" s="3" t="s">
        <v>1372</v>
      </c>
      <c r="Y17" s="3" t="s">
        <v>971</v>
      </c>
      <c r="Z17" s="3" t="s">
        <v>1373</v>
      </c>
      <c r="AA17" s="3" t="s">
        <v>969</v>
      </c>
      <c r="AB17" s="3" t="s">
        <v>1374</v>
      </c>
      <c r="AC17" s="3" t="s">
        <v>1375</v>
      </c>
      <c r="AD17" s="3" t="s">
        <v>1376</v>
      </c>
      <c r="AE17" s="3" t="s">
        <v>1377</v>
      </c>
      <c r="AF17" s="3" t="s">
        <v>1378</v>
      </c>
      <c r="AG17" s="3" t="s">
        <v>1133</v>
      </c>
      <c r="AH17" s="3" t="s">
        <v>969</v>
      </c>
      <c r="AI17" s="3" t="s">
        <v>1379</v>
      </c>
      <c r="AJ17" s="3" t="s">
        <v>1380</v>
      </c>
      <c r="AK17" s="3" t="s">
        <v>1381</v>
      </c>
      <c r="AL17" s="3" t="s">
        <v>1382</v>
      </c>
      <c r="AM17" s="3" t="s">
        <v>1383</v>
      </c>
      <c r="AN17" s="3" t="s">
        <v>1384</v>
      </c>
      <c r="AO17" s="3" t="s">
        <v>1385</v>
      </c>
      <c r="AP17" s="3" t="s">
        <v>1386</v>
      </c>
      <c r="AQ17" s="3" t="s">
        <v>1387</v>
      </c>
      <c r="AR17" s="3" t="s">
        <v>1388</v>
      </c>
      <c r="AS17" s="3" t="s">
        <v>969</v>
      </c>
      <c r="AT17" s="3" t="s">
        <v>969</v>
      </c>
      <c r="AU17" s="3" t="s">
        <v>1260</v>
      </c>
      <c r="AV17" s="3" t="s">
        <v>1389</v>
      </c>
      <c r="AW17" s="4"/>
      <c r="AX17" s="3" t="s">
        <v>969</v>
      </c>
      <c r="AY17" s="27">
        <v>15.99</v>
      </c>
      <c r="AZ17" s="5" t="s">
        <v>27</v>
      </c>
      <c r="BA17" s="5" t="s">
        <v>326</v>
      </c>
    </row>
    <row r="18" ht="15.75" customHeight="1">
      <c r="A18" s="24"/>
      <c r="B18" s="24">
        <v>171.0</v>
      </c>
      <c r="C18" s="21" t="s">
        <v>24</v>
      </c>
      <c r="D18" s="3" t="s">
        <v>953</v>
      </c>
      <c r="E18" s="25">
        <v>46210.62916666667</v>
      </c>
      <c r="F18" s="3" t="s">
        <v>322</v>
      </c>
      <c r="G18" s="3" t="s">
        <v>322</v>
      </c>
      <c r="H18" s="3" t="s">
        <v>748</v>
      </c>
      <c r="I18" s="3" t="s">
        <v>1390</v>
      </c>
      <c r="J18" s="4"/>
      <c r="K18" s="3" t="s">
        <v>1391</v>
      </c>
      <c r="L18" s="3" t="s">
        <v>1392</v>
      </c>
      <c r="M18" s="26">
        <v>36768.0</v>
      </c>
      <c r="N18" s="3" t="s">
        <v>1393</v>
      </c>
      <c r="O18" s="3" t="s">
        <v>1392</v>
      </c>
      <c r="P18" s="4"/>
      <c r="Q18" s="4"/>
      <c r="R18" s="4"/>
      <c r="S18" s="3" t="s">
        <v>1394</v>
      </c>
      <c r="T18" s="3" t="s">
        <v>1395</v>
      </c>
      <c r="U18" s="3" t="s">
        <v>1396</v>
      </c>
      <c r="V18" s="3" t="s">
        <v>1397</v>
      </c>
      <c r="W18" s="4"/>
      <c r="X18" s="3" t="s">
        <v>1398</v>
      </c>
      <c r="Y18" s="3" t="s">
        <v>971</v>
      </c>
      <c r="Z18" s="3" t="s">
        <v>1399</v>
      </c>
      <c r="AA18" s="3" t="s">
        <v>969</v>
      </c>
      <c r="AB18" s="3" t="s">
        <v>1400</v>
      </c>
      <c r="AC18" s="3" t="s">
        <v>969</v>
      </c>
      <c r="AD18" s="3" t="s">
        <v>1401</v>
      </c>
      <c r="AE18" s="4"/>
      <c r="AF18" s="4"/>
      <c r="AG18" s="4"/>
      <c r="AH18" s="3" t="s">
        <v>969</v>
      </c>
      <c r="AI18" s="3" t="s">
        <v>1402</v>
      </c>
      <c r="AJ18" s="4"/>
      <c r="AK18" s="4"/>
      <c r="AL18" s="4"/>
      <c r="AM18" s="3" t="s">
        <v>1403</v>
      </c>
      <c r="AN18" s="3" t="s">
        <v>1404</v>
      </c>
      <c r="AO18" s="3" t="s">
        <v>1405</v>
      </c>
      <c r="AP18" s="3" t="s">
        <v>1406</v>
      </c>
      <c r="AQ18" s="3" t="s">
        <v>1407</v>
      </c>
      <c r="AR18" s="3" t="s">
        <v>1408</v>
      </c>
      <c r="AS18" s="3" t="s">
        <v>969</v>
      </c>
      <c r="AT18" s="3" t="s">
        <v>969</v>
      </c>
      <c r="AU18" s="3" t="s">
        <v>1409</v>
      </c>
      <c r="AV18" s="3" t="s">
        <v>1410</v>
      </c>
      <c r="AW18" s="4"/>
      <c r="AX18" s="3" t="s">
        <v>969</v>
      </c>
      <c r="AY18" s="27">
        <v>15.99</v>
      </c>
      <c r="AZ18" s="5" t="s">
        <v>27</v>
      </c>
      <c r="BA18" s="5" t="s">
        <v>22</v>
      </c>
    </row>
    <row r="19" ht="15.75" customHeight="1">
      <c r="A19" s="24"/>
      <c r="B19" s="24">
        <v>168.0</v>
      </c>
      <c r="C19" s="21" t="s">
        <v>24</v>
      </c>
      <c r="D19" s="3" t="s">
        <v>953</v>
      </c>
      <c r="E19" s="25">
        <v>46209.35833333333</v>
      </c>
      <c r="F19" s="3" t="s">
        <v>1411</v>
      </c>
      <c r="G19" s="3" t="s">
        <v>1411</v>
      </c>
      <c r="H19" s="3" t="s">
        <v>614</v>
      </c>
      <c r="I19" s="3" t="s">
        <v>1412</v>
      </c>
      <c r="J19" s="3" t="s">
        <v>1413</v>
      </c>
      <c r="K19" s="3" t="s">
        <v>1414</v>
      </c>
      <c r="L19" s="3" t="s">
        <v>1415</v>
      </c>
      <c r="M19" s="26">
        <v>38276.0</v>
      </c>
      <c r="N19" s="3" t="s">
        <v>1416</v>
      </c>
      <c r="O19" s="3" t="s">
        <v>1417</v>
      </c>
      <c r="P19" s="3" t="s">
        <v>1418</v>
      </c>
      <c r="Q19" s="3" t="s">
        <v>1419</v>
      </c>
      <c r="R19" s="4"/>
      <c r="S19" s="3" t="s">
        <v>1420</v>
      </c>
      <c r="T19" s="3" t="s">
        <v>1421</v>
      </c>
      <c r="U19" s="3" t="s">
        <v>1124</v>
      </c>
      <c r="V19" s="3" t="s">
        <v>1422</v>
      </c>
      <c r="W19" s="3" t="s">
        <v>1423</v>
      </c>
      <c r="X19" s="3" t="s">
        <v>1424</v>
      </c>
      <c r="Y19" s="3" t="s">
        <v>969</v>
      </c>
      <c r="Z19" s="3" t="s">
        <v>1425</v>
      </c>
      <c r="AA19" s="3" t="s">
        <v>971</v>
      </c>
      <c r="AB19" s="4"/>
      <c r="AC19" s="3" t="s">
        <v>1426</v>
      </c>
      <c r="AD19" s="3" t="s">
        <v>1427</v>
      </c>
      <c r="AE19" s="3" t="s">
        <v>1428</v>
      </c>
      <c r="AF19" s="3" t="s">
        <v>1429</v>
      </c>
      <c r="AG19" s="3" t="s">
        <v>1030</v>
      </c>
      <c r="AH19" s="3" t="s">
        <v>971</v>
      </c>
      <c r="AI19" s="4"/>
      <c r="AJ19" s="3" t="s">
        <v>1430</v>
      </c>
      <c r="AK19" s="3" t="s">
        <v>1431</v>
      </c>
      <c r="AL19" s="3" t="s">
        <v>1432</v>
      </c>
      <c r="AM19" s="3" t="s">
        <v>1433</v>
      </c>
      <c r="AN19" s="3" t="s">
        <v>1434</v>
      </c>
      <c r="AO19" s="3" t="s">
        <v>1435</v>
      </c>
      <c r="AP19" s="3" t="s">
        <v>1436</v>
      </c>
      <c r="AQ19" s="3" t="s">
        <v>1437</v>
      </c>
      <c r="AR19" s="3" t="s">
        <v>1438</v>
      </c>
      <c r="AS19" s="3" t="s">
        <v>969</v>
      </c>
      <c r="AT19" s="3" t="s">
        <v>971</v>
      </c>
      <c r="AU19" s="3" t="s">
        <v>1260</v>
      </c>
      <c r="AV19" s="3" t="s">
        <v>1439</v>
      </c>
      <c r="AW19" s="4"/>
      <c r="AX19" s="3" t="s">
        <v>969</v>
      </c>
      <c r="AY19" s="27">
        <v>15.99</v>
      </c>
      <c r="AZ19" s="5" t="s">
        <v>85</v>
      </c>
      <c r="BA19" s="5" t="s">
        <v>162</v>
      </c>
    </row>
    <row r="20" ht="15.75" customHeight="1">
      <c r="A20" s="24"/>
      <c r="B20" s="24">
        <v>162.0</v>
      </c>
      <c r="C20" s="21" t="s">
        <v>24</v>
      </c>
      <c r="D20" s="3" t="s">
        <v>953</v>
      </c>
      <c r="E20" s="25">
        <v>46209.06388888889</v>
      </c>
      <c r="F20" s="3" t="s">
        <v>1440</v>
      </c>
      <c r="G20" s="3" t="s">
        <v>1441</v>
      </c>
      <c r="H20" s="3" t="s">
        <v>730</v>
      </c>
      <c r="I20" s="3" t="s">
        <v>1442</v>
      </c>
      <c r="J20" s="3" t="s">
        <v>1443</v>
      </c>
      <c r="K20" s="3" t="s">
        <v>1444</v>
      </c>
      <c r="L20" s="3" t="s">
        <v>1445</v>
      </c>
      <c r="M20" s="26">
        <v>38765.0</v>
      </c>
      <c r="N20" s="3" t="s">
        <v>1446</v>
      </c>
      <c r="O20" s="3" t="s">
        <v>1445</v>
      </c>
      <c r="P20" s="3" t="s">
        <v>1447</v>
      </c>
      <c r="Q20" s="3" t="s">
        <v>1448</v>
      </c>
      <c r="R20" s="3" t="s">
        <v>1447</v>
      </c>
      <c r="S20" s="3" t="s">
        <v>1449</v>
      </c>
      <c r="T20" s="3" t="s">
        <v>1450</v>
      </c>
      <c r="U20" s="3" t="s">
        <v>1050</v>
      </c>
      <c r="V20" s="3" t="s">
        <v>1451</v>
      </c>
      <c r="W20" s="3" t="s">
        <v>1452</v>
      </c>
      <c r="X20" s="3" t="s">
        <v>1453</v>
      </c>
      <c r="Y20" s="3" t="s">
        <v>969</v>
      </c>
      <c r="Z20" s="3" t="s">
        <v>1454</v>
      </c>
      <c r="AA20" s="3" t="s">
        <v>971</v>
      </c>
      <c r="AB20" s="3" t="s">
        <v>1455</v>
      </c>
      <c r="AC20" s="3" t="s">
        <v>1456</v>
      </c>
      <c r="AD20" s="3" t="s">
        <v>1457</v>
      </c>
      <c r="AE20" s="3" t="s">
        <v>1458</v>
      </c>
      <c r="AF20" s="3" t="s">
        <v>1459</v>
      </c>
      <c r="AG20" s="3" t="s">
        <v>1460</v>
      </c>
      <c r="AH20" s="3" t="s">
        <v>971</v>
      </c>
      <c r="AI20" s="3" t="s">
        <v>1447</v>
      </c>
      <c r="AJ20" s="3" t="s">
        <v>1461</v>
      </c>
      <c r="AK20" s="3" t="s">
        <v>1462</v>
      </c>
      <c r="AL20" s="3" t="s">
        <v>1463</v>
      </c>
      <c r="AM20" s="3" t="s">
        <v>1464</v>
      </c>
      <c r="AN20" s="3" t="s">
        <v>1465</v>
      </c>
      <c r="AO20" s="3" t="s">
        <v>1466</v>
      </c>
      <c r="AP20" s="3" t="s">
        <v>1467</v>
      </c>
      <c r="AQ20" s="3" t="s">
        <v>1468</v>
      </c>
      <c r="AR20" s="3" t="s">
        <v>1469</v>
      </c>
      <c r="AS20" s="3" t="s">
        <v>969</v>
      </c>
      <c r="AT20" s="3" t="s">
        <v>969</v>
      </c>
      <c r="AU20" s="3" t="s">
        <v>1039</v>
      </c>
      <c r="AV20" s="3" t="s">
        <v>1470</v>
      </c>
      <c r="AW20" s="3" t="s">
        <v>1471</v>
      </c>
      <c r="AX20" s="3" t="s">
        <v>969</v>
      </c>
      <c r="AY20" s="27">
        <v>15.99</v>
      </c>
      <c r="AZ20" s="5" t="s">
        <v>27</v>
      </c>
      <c r="BA20" s="5" t="s">
        <v>22</v>
      </c>
    </row>
    <row r="21" ht="15.75" customHeight="1">
      <c r="A21" s="24"/>
      <c r="B21" s="24">
        <v>156.0</v>
      </c>
      <c r="C21" s="21" t="s">
        <v>24</v>
      </c>
      <c r="D21" s="3" t="s">
        <v>953</v>
      </c>
      <c r="E21" s="25">
        <v>46208.97013888889</v>
      </c>
      <c r="F21" s="3" t="s">
        <v>282</v>
      </c>
      <c r="G21" s="3" t="s">
        <v>282</v>
      </c>
      <c r="H21" s="3" t="s">
        <v>545</v>
      </c>
      <c r="I21" s="3" t="s">
        <v>1472</v>
      </c>
      <c r="J21" s="3" t="s">
        <v>1473</v>
      </c>
      <c r="K21" s="3" t="s">
        <v>1474</v>
      </c>
      <c r="L21" s="3" t="s">
        <v>1475</v>
      </c>
      <c r="M21" s="26">
        <v>36434.0</v>
      </c>
      <c r="N21" s="3" t="s">
        <v>1476</v>
      </c>
      <c r="O21" s="3" t="s">
        <v>1477</v>
      </c>
      <c r="P21" s="4"/>
      <c r="Q21" s="4"/>
      <c r="R21" s="4"/>
      <c r="S21" s="3" t="s">
        <v>1478</v>
      </c>
      <c r="T21" s="3" t="s">
        <v>1479</v>
      </c>
      <c r="U21" s="3" t="s">
        <v>1480</v>
      </c>
      <c r="V21" s="3" t="s">
        <v>1481</v>
      </c>
      <c r="W21" s="3" t="s">
        <v>1482</v>
      </c>
      <c r="X21" s="3" t="s">
        <v>1483</v>
      </c>
      <c r="Y21" s="3" t="s">
        <v>971</v>
      </c>
      <c r="Z21" s="3" t="s">
        <v>1484</v>
      </c>
      <c r="AA21" s="3" t="s">
        <v>971</v>
      </c>
      <c r="AB21" s="4"/>
      <c r="AC21" s="3" t="s">
        <v>1485</v>
      </c>
      <c r="AD21" s="3" t="s">
        <v>1486</v>
      </c>
      <c r="AE21" s="3" t="s">
        <v>1487</v>
      </c>
      <c r="AF21" s="3" t="s">
        <v>1488</v>
      </c>
      <c r="AG21" s="4"/>
      <c r="AH21" s="3" t="s">
        <v>969</v>
      </c>
      <c r="AI21" s="3" t="s">
        <v>1489</v>
      </c>
      <c r="AJ21" s="3" t="s">
        <v>969</v>
      </c>
      <c r="AK21" s="3" t="s">
        <v>1490</v>
      </c>
      <c r="AL21" s="3" t="s">
        <v>1491</v>
      </c>
      <c r="AM21" s="3" t="s">
        <v>1492</v>
      </c>
      <c r="AN21" s="3" t="s">
        <v>1493</v>
      </c>
      <c r="AO21" s="3" t="s">
        <v>1494</v>
      </c>
      <c r="AP21" s="3" t="s">
        <v>1495</v>
      </c>
      <c r="AQ21" s="3" t="s">
        <v>1496</v>
      </c>
      <c r="AR21" s="3" t="s">
        <v>1497</v>
      </c>
      <c r="AS21" s="3" t="s">
        <v>969</v>
      </c>
      <c r="AT21" s="3" t="s">
        <v>969</v>
      </c>
      <c r="AU21" s="3" t="s">
        <v>1233</v>
      </c>
      <c r="AV21" s="3" t="s">
        <v>1498</v>
      </c>
      <c r="AW21" s="3" t="s">
        <v>1499</v>
      </c>
      <c r="AX21" s="3" t="s">
        <v>969</v>
      </c>
      <c r="AY21" s="27">
        <v>15.99</v>
      </c>
      <c r="AZ21" s="5" t="s">
        <v>85</v>
      </c>
      <c r="BA21" s="5" t="s">
        <v>22</v>
      </c>
    </row>
    <row r="22" ht="15.75" customHeight="1">
      <c r="A22" s="24"/>
      <c r="B22" s="24">
        <v>141.0</v>
      </c>
      <c r="C22" s="21" t="s">
        <v>24</v>
      </c>
      <c r="D22" s="3" t="s">
        <v>953</v>
      </c>
      <c r="E22" s="25">
        <v>46208.85416666666</v>
      </c>
      <c r="F22" s="3" t="s">
        <v>249</v>
      </c>
      <c r="G22" s="3" t="s">
        <v>249</v>
      </c>
      <c r="H22" s="3" t="s">
        <v>589</v>
      </c>
      <c r="I22" s="3" t="s">
        <v>1500</v>
      </c>
      <c r="J22" s="3" t="s">
        <v>1501</v>
      </c>
      <c r="K22" s="3" t="s">
        <v>1502</v>
      </c>
      <c r="L22" s="3" t="s">
        <v>1503</v>
      </c>
      <c r="M22" s="26">
        <v>37648.0</v>
      </c>
      <c r="N22" s="3" t="s">
        <v>1504</v>
      </c>
      <c r="O22" s="3" t="s">
        <v>1505</v>
      </c>
      <c r="P22" s="3" t="s">
        <v>1506</v>
      </c>
      <c r="Q22" s="4"/>
      <c r="R22" s="4"/>
      <c r="S22" s="3" t="s">
        <v>1507</v>
      </c>
      <c r="T22" s="3" t="s">
        <v>1508</v>
      </c>
      <c r="U22" s="3" t="s">
        <v>1396</v>
      </c>
      <c r="V22" s="3" t="s">
        <v>1509</v>
      </c>
      <c r="W22" s="3" t="s">
        <v>1510</v>
      </c>
      <c r="X22" s="3" t="s">
        <v>1511</v>
      </c>
      <c r="Y22" s="3" t="s">
        <v>971</v>
      </c>
      <c r="Z22" s="3" t="s">
        <v>1512</v>
      </c>
      <c r="AA22" s="3" t="s">
        <v>969</v>
      </c>
      <c r="AB22" s="3" t="s">
        <v>1513</v>
      </c>
      <c r="AC22" s="3" t="s">
        <v>1514</v>
      </c>
      <c r="AD22" s="3" t="s">
        <v>1515</v>
      </c>
      <c r="AE22" s="3" t="s">
        <v>1516</v>
      </c>
      <c r="AF22" s="3" t="s">
        <v>1250</v>
      </c>
      <c r="AG22" s="3" t="s">
        <v>1517</v>
      </c>
      <c r="AH22" s="3" t="s">
        <v>969</v>
      </c>
      <c r="AI22" s="3" t="s">
        <v>1518</v>
      </c>
      <c r="AJ22" s="4"/>
      <c r="AK22" s="4"/>
      <c r="AL22" s="3" t="s">
        <v>1519</v>
      </c>
      <c r="AM22" s="3" t="s">
        <v>1520</v>
      </c>
      <c r="AN22" s="3" t="s">
        <v>1521</v>
      </c>
      <c r="AO22" s="3" t="s">
        <v>1522</v>
      </c>
      <c r="AP22" s="3" t="s">
        <v>1523</v>
      </c>
      <c r="AQ22" s="3" t="s">
        <v>1524</v>
      </c>
      <c r="AR22" s="3" t="s">
        <v>1525</v>
      </c>
      <c r="AS22" s="3" t="s">
        <v>969</v>
      </c>
      <c r="AT22" s="3" t="s">
        <v>969</v>
      </c>
      <c r="AU22" s="3" t="s">
        <v>1233</v>
      </c>
      <c r="AV22" s="3" t="s">
        <v>1498</v>
      </c>
      <c r="AW22" s="3" t="s">
        <v>1288</v>
      </c>
      <c r="AX22" s="3" t="s">
        <v>969</v>
      </c>
      <c r="AY22" s="27">
        <v>15.99</v>
      </c>
      <c r="AZ22" s="5" t="s">
        <v>85</v>
      </c>
      <c r="BA22" s="5" t="s">
        <v>22</v>
      </c>
    </row>
    <row r="23" ht="15.75" customHeight="1">
      <c r="A23" s="24"/>
      <c r="B23" s="24">
        <v>104.0</v>
      </c>
      <c r="C23" s="21" t="s">
        <v>24</v>
      </c>
      <c r="D23" s="3" t="s">
        <v>953</v>
      </c>
      <c r="E23" s="25">
        <v>46206.82777777778</v>
      </c>
      <c r="F23" s="3" t="s">
        <v>178</v>
      </c>
      <c r="G23" s="3" t="s">
        <v>178</v>
      </c>
      <c r="H23" s="3" t="s">
        <v>599</v>
      </c>
      <c r="I23" s="3" t="s">
        <v>1526</v>
      </c>
      <c r="J23" s="3" t="s">
        <v>1527</v>
      </c>
      <c r="K23" s="3" t="s">
        <v>1528</v>
      </c>
      <c r="L23" s="3" t="s">
        <v>1529</v>
      </c>
      <c r="M23" s="26">
        <v>38767.0</v>
      </c>
      <c r="N23" s="3" t="s">
        <v>1530</v>
      </c>
      <c r="O23" s="3" t="s">
        <v>1531</v>
      </c>
      <c r="P23" s="4"/>
      <c r="Q23" s="4"/>
      <c r="R23" s="4"/>
      <c r="S23" s="3" t="s">
        <v>1532</v>
      </c>
      <c r="T23" s="3" t="s">
        <v>1533</v>
      </c>
      <c r="U23" s="3" t="s">
        <v>1050</v>
      </c>
      <c r="V23" s="3" t="s">
        <v>1534</v>
      </c>
      <c r="W23" s="3" t="s">
        <v>1535</v>
      </c>
      <c r="X23" s="3" t="s">
        <v>1536</v>
      </c>
      <c r="Y23" s="3" t="s">
        <v>969</v>
      </c>
      <c r="Z23" s="3" t="s">
        <v>1537</v>
      </c>
      <c r="AA23" s="3" t="s">
        <v>971</v>
      </c>
      <c r="AB23" s="4"/>
      <c r="AC23" s="3" t="s">
        <v>1538</v>
      </c>
      <c r="AD23" s="3" t="s">
        <v>1539</v>
      </c>
      <c r="AE23" s="4"/>
      <c r="AF23" s="3" t="s">
        <v>1540</v>
      </c>
      <c r="AG23" s="3" t="s">
        <v>1541</v>
      </c>
      <c r="AH23" s="3" t="s">
        <v>971</v>
      </c>
      <c r="AI23" s="4"/>
      <c r="AJ23" s="4"/>
      <c r="AK23" s="4"/>
      <c r="AL23" s="3" t="s">
        <v>1542</v>
      </c>
      <c r="AM23" s="3" t="s">
        <v>1543</v>
      </c>
      <c r="AN23" s="3" t="s">
        <v>1544</v>
      </c>
      <c r="AO23" s="3" t="s">
        <v>1545</v>
      </c>
      <c r="AP23" s="3" t="s">
        <v>1546</v>
      </c>
      <c r="AQ23" s="3" t="s">
        <v>1547</v>
      </c>
      <c r="AR23" s="3" t="s">
        <v>1548</v>
      </c>
      <c r="AS23" s="3" t="s">
        <v>969</v>
      </c>
      <c r="AT23" s="3" t="s">
        <v>969</v>
      </c>
      <c r="AU23" s="3" t="s">
        <v>981</v>
      </c>
      <c r="AV23" s="3" t="s">
        <v>918</v>
      </c>
      <c r="AW23" s="4"/>
      <c r="AX23" s="3" t="s">
        <v>969</v>
      </c>
      <c r="AY23" s="27">
        <v>15.99</v>
      </c>
      <c r="AZ23" s="5" t="s">
        <v>85</v>
      </c>
      <c r="BA23" s="5" t="s">
        <v>22</v>
      </c>
    </row>
    <row r="24" ht="15.75" customHeight="1">
      <c r="A24" s="24"/>
      <c r="B24" s="24">
        <v>102.0</v>
      </c>
      <c r="C24" s="21" t="s">
        <v>24</v>
      </c>
      <c r="D24" s="3" t="s">
        <v>953</v>
      </c>
      <c r="E24" s="25">
        <v>46206.47708333333</v>
      </c>
      <c r="F24" s="3" t="s">
        <v>171</v>
      </c>
      <c r="G24" s="3" t="s">
        <v>171</v>
      </c>
      <c r="H24" s="3" t="s">
        <v>637</v>
      </c>
      <c r="I24" s="3" t="s">
        <v>1549</v>
      </c>
      <c r="J24" s="3" t="s">
        <v>1550</v>
      </c>
      <c r="K24" s="3" t="s">
        <v>1551</v>
      </c>
      <c r="L24" s="3" t="s">
        <v>1552</v>
      </c>
      <c r="M24" s="26">
        <v>31538.0</v>
      </c>
      <c r="N24" s="3" t="s">
        <v>1553</v>
      </c>
      <c r="O24" s="3" t="s">
        <v>1554</v>
      </c>
      <c r="P24" s="3" t="s">
        <v>171</v>
      </c>
      <c r="Q24" s="3" t="s">
        <v>1555</v>
      </c>
      <c r="R24" s="3" t="s">
        <v>1556</v>
      </c>
      <c r="S24" s="3" t="s">
        <v>1557</v>
      </c>
      <c r="T24" s="3" t="s">
        <v>1558</v>
      </c>
      <c r="U24" s="3" t="s">
        <v>1050</v>
      </c>
      <c r="V24" s="3" t="s">
        <v>1559</v>
      </c>
      <c r="W24" s="3" t="s">
        <v>1560</v>
      </c>
      <c r="X24" s="3" t="s">
        <v>1561</v>
      </c>
      <c r="Y24" s="3" t="s">
        <v>971</v>
      </c>
      <c r="Z24" s="3" t="s">
        <v>1562</v>
      </c>
      <c r="AA24" s="3" t="s">
        <v>969</v>
      </c>
      <c r="AB24" s="3" t="s">
        <v>1561</v>
      </c>
      <c r="AC24" s="4"/>
      <c r="AD24" s="3" t="s">
        <v>971</v>
      </c>
      <c r="AE24" s="4"/>
      <c r="AF24" s="4"/>
      <c r="AG24" s="4"/>
      <c r="AH24" s="3" t="s">
        <v>969</v>
      </c>
      <c r="AI24" s="3" t="s">
        <v>1563</v>
      </c>
      <c r="AJ24" s="3" t="s">
        <v>966</v>
      </c>
      <c r="AK24" s="4"/>
      <c r="AL24" s="3" t="s">
        <v>1564</v>
      </c>
      <c r="AM24" s="3" t="s">
        <v>1565</v>
      </c>
      <c r="AN24" s="3" t="s">
        <v>1566</v>
      </c>
      <c r="AO24" s="3" t="s">
        <v>1567</v>
      </c>
      <c r="AP24" s="3" t="s">
        <v>1568</v>
      </c>
      <c r="AQ24" s="3" t="s">
        <v>1569</v>
      </c>
      <c r="AR24" s="3" t="s">
        <v>1570</v>
      </c>
      <c r="AS24" s="3" t="s">
        <v>971</v>
      </c>
      <c r="AT24" s="3" t="s">
        <v>969</v>
      </c>
      <c r="AU24" s="3" t="s">
        <v>1039</v>
      </c>
      <c r="AV24" s="3" t="s">
        <v>1571</v>
      </c>
      <c r="AW24" s="3" t="s">
        <v>1499</v>
      </c>
      <c r="AX24" s="3" t="s">
        <v>969</v>
      </c>
      <c r="AY24" s="27">
        <v>15.99</v>
      </c>
      <c r="AZ24" s="5" t="s">
        <v>27</v>
      </c>
      <c r="BA24" s="5" t="s">
        <v>22</v>
      </c>
    </row>
    <row r="25" ht="15.75" customHeight="1">
      <c r="A25" s="24"/>
      <c r="B25" s="24">
        <v>90.0</v>
      </c>
      <c r="C25" s="21" t="s">
        <v>24</v>
      </c>
      <c r="D25" s="3" t="s">
        <v>953</v>
      </c>
      <c r="E25" s="25">
        <v>46203.825</v>
      </c>
      <c r="F25" s="3" t="s">
        <v>157</v>
      </c>
      <c r="G25" s="3" t="s">
        <v>157</v>
      </c>
      <c r="H25" s="3" t="s">
        <v>1572</v>
      </c>
      <c r="I25" s="3" t="s">
        <v>1572</v>
      </c>
      <c r="J25" s="3" t="s">
        <v>1573</v>
      </c>
      <c r="K25" s="3" t="s">
        <v>1574</v>
      </c>
      <c r="L25" s="3" t="s">
        <v>1575</v>
      </c>
      <c r="M25" s="26">
        <v>35438.0</v>
      </c>
      <c r="N25" s="3" t="s">
        <v>1576</v>
      </c>
      <c r="O25" s="3" t="s">
        <v>1575</v>
      </c>
      <c r="P25" s="4"/>
      <c r="Q25" s="4"/>
      <c r="R25" s="4"/>
      <c r="S25" s="3" t="s">
        <v>1577</v>
      </c>
      <c r="T25" s="3" t="s">
        <v>1578</v>
      </c>
      <c r="U25" s="3" t="s">
        <v>1579</v>
      </c>
      <c r="V25" s="3" t="s">
        <v>1580</v>
      </c>
      <c r="W25" s="3" t="s">
        <v>1581</v>
      </c>
      <c r="X25" s="3" t="s">
        <v>1582</v>
      </c>
      <c r="Y25" s="3" t="s">
        <v>971</v>
      </c>
      <c r="Z25" s="3" t="s">
        <v>1583</v>
      </c>
      <c r="AA25" s="3" t="s">
        <v>971</v>
      </c>
      <c r="AB25" s="4"/>
      <c r="AC25" s="3" t="s">
        <v>6</v>
      </c>
      <c r="AD25" s="3" t="s">
        <v>1584</v>
      </c>
      <c r="AE25" s="3" t="s">
        <v>1585</v>
      </c>
      <c r="AF25" s="3" t="s">
        <v>1586</v>
      </c>
      <c r="AG25" s="3" t="s">
        <v>1030</v>
      </c>
      <c r="AH25" s="3" t="s">
        <v>969</v>
      </c>
      <c r="AI25" s="3" t="s">
        <v>1587</v>
      </c>
      <c r="AJ25" s="3" t="s">
        <v>6</v>
      </c>
      <c r="AK25" s="3" t="s">
        <v>1588</v>
      </c>
      <c r="AL25" s="3" t="s">
        <v>1589</v>
      </c>
      <c r="AM25" s="3" t="s">
        <v>1590</v>
      </c>
      <c r="AN25" s="3" t="s">
        <v>1591</v>
      </c>
      <c r="AO25" s="3" t="s">
        <v>1592</v>
      </c>
      <c r="AP25" s="3" t="s">
        <v>1593</v>
      </c>
      <c r="AQ25" s="3" t="s">
        <v>1594</v>
      </c>
      <c r="AR25" s="3" t="s">
        <v>1595</v>
      </c>
      <c r="AS25" s="3" t="s">
        <v>969</v>
      </c>
      <c r="AT25" s="3" t="s">
        <v>969</v>
      </c>
      <c r="AU25" s="3" t="s">
        <v>981</v>
      </c>
      <c r="AV25" s="3" t="s">
        <v>982</v>
      </c>
      <c r="AW25" s="3" t="s">
        <v>1596</v>
      </c>
      <c r="AX25" s="3" t="s">
        <v>969</v>
      </c>
      <c r="AY25" s="27">
        <v>15.99</v>
      </c>
      <c r="AZ25" s="5" t="s">
        <v>85</v>
      </c>
      <c r="BA25" s="5" t="s">
        <v>22</v>
      </c>
    </row>
    <row r="26" ht="15.75" customHeight="1">
      <c r="A26" s="24"/>
      <c r="B26" s="24">
        <v>70.0</v>
      </c>
      <c r="C26" s="21" t="s">
        <v>24</v>
      </c>
      <c r="D26" s="3" t="s">
        <v>953</v>
      </c>
      <c r="E26" s="25">
        <v>46197.96388888889</v>
      </c>
      <c r="F26" s="3" t="s">
        <v>884</v>
      </c>
      <c r="G26" s="3" t="s">
        <v>1597</v>
      </c>
      <c r="H26" s="3" t="s">
        <v>114</v>
      </c>
      <c r="I26" s="3" t="s">
        <v>1598</v>
      </c>
      <c r="J26" s="3" t="s">
        <v>1599</v>
      </c>
      <c r="K26" s="3" t="s">
        <v>189</v>
      </c>
      <c r="L26" s="3" t="s">
        <v>1600</v>
      </c>
      <c r="M26" s="26">
        <v>35854.0</v>
      </c>
      <c r="N26" s="3" t="s">
        <v>1601</v>
      </c>
      <c r="O26" s="3" t="s">
        <v>1602</v>
      </c>
      <c r="P26" s="4"/>
      <c r="Q26" s="3" t="s">
        <v>1603</v>
      </c>
      <c r="R26" s="3" t="s">
        <v>1604</v>
      </c>
      <c r="S26" s="3" t="s">
        <v>1605</v>
      </c>
      <c r="T26" s="3" t="s">
        <v>1606</v>
      </c>
      <c r="U26" s="3" t="s">
        <v>1124</v>
      </c>
      <c r="V26" s="3" t="s">
        <v>1397</v>
      </c>
      <c r="W26" s="3" t="s">
        <v>1397</v>
      </c>
      <c r="X26" s="3" t="s">
        <v>1607</v>
      </c>
      <c r="Y26" s="3" t="s">
        <v>971</v>
      </c>
      <c r="Z26" s="3" t="s">
        <v>1128</v>
      </c>
      <c r="AA26" s="3" t="s">
        <v>971</v>
      </c>
      <c r="AB26" s="4"/>
      <c r="AC26" s="3" t="s">
        <v>969</v>
      </c>
      <c r="AD26" s="3" t="s">
        <v>1608</v>
      </c>
      <c r="AE26" s="3" t="s">
        <v>1609</v>
      </c>
      <c r="AF26" s="3" t="s">
        <v>1610</v>
      </c>
      <c r="AG26" s="3" t="s">
        <v>1611</v>
      </c>
      <c r="AH26" s="3" t="s">
        <v>969</v>
      </c>
      <c r="AI26" s="3" t="s">
        <v>1612</v>
      </c>
      <c r="AJ26" s="3" t="s">
        <v>1613</v>
      </c>
      <c r="AK26" s="4"/>
      <c r="AL26" s="3" t="s">
        <v>1614</v>
      </c>
      <c r="AM26" s="3" t="s">
        <v>1615</v>
      </c>
      <c r="AN26" s="3" t="s">
        <v>1616</v>
      </c>
      <c r="AO26" s="3" t="s">
        <v>1617</v>
      </c>
      <c r="AP26" s="3" t="s">
        <v>1618</v>
      </c>
      <c r="AQ26" s="3" t="s">
        <v>1619</v>
      </c>
      <c r="AR26" s="3" t="s">
        <v>1620</v>
      </c>
      <c r="AS26" s="3" t="s">
        <v>969</v>
      </c>
      <c r="AT26" s="3" t="s">
        <v>969</v>
      </c>
      <c r="AU26" s="3" t="s">
        <v>1039</v>
      </c>
      <c r="AV26" s="3" t="s">
        <v>1621</v>
      </c>
      <c r="AW26" s="3" t="s">
        <v>1288</v>
      </c>
      <c r="AX26" s="3" t="s">
        <v>969</v>
      </c>
      <c r="AY26" s="27">
        <v>15.99</v>
      </c>
      <c r="AZ26" s="5" t="s">
        <v>27</v>
      </c>
      <c r="BA26" s="5" t="s">
        <v>43</v>
      </c>
    </row>
    <row r="27" ht="15.75" customHeight="1">
      <c r="A27" s="24"/>
      <c r="B27" s="24">
        <v>65.0</v>
      </c>
      <c r="C27" s="21" t="s">
        <v>24</v>
      </c>
      <c r="D27" s="3" t="s">
        <v>953</v>
      </c>
      <c r="E27" s="25">
        <v>46196.95416666667</v>
      </c>
      <c r="F27" s="3" t="s">
        <v>864</v>
      </c>
      <c r="G27" s="3" t="s">
        <v>864</v>
      </c>
      <c r="H27" s="3" t="s">
        <v>103</v>
      </c>
      <c r="I27" s="3" t="s">
        <v>1622</v>
      </c>
      <c r="J27" s="3" t="s">
        <v>1623</v>
      </c>
      <c r="K27" s="3" t="s">
        <v>1624</v>
      </c>
      <c r="L27" s="3" t="s">
        <v>1625</v>
      </c>
      <c r="M27" s="26">
        <v>36470.0</v>
      </c>
      <c r="N27" s="3" t="s">
        <v>1626</v>
      </c>
      <c r="O27" s="3" t="s">
        <v>1627</v>
      </c>
      <c r="P27" s="3" t="s">
        <v>1628</v>
      </c>
      <c r="Q27" s="3" t="s">
        <v>1629</v>
      </c>
      <c r="R27" s="3" t="s">
        <v>1630</v>
      </c>
      <c r="S27" s="3" t="s">
        <v>1631</v>
      </c>
      <c r="T27" s="3" t="s">
        <v>1632</v>
      </c>
      <c r="U27" s="3" t="s">
        <v>1633</v>
      </c>
      <c r="V27" s="3" t="s">
        <v>1634</v>
      </c>
      <c r="W27" s="3" t="s">
        <v>1635</v>
      </c>
      <c r="X27" s="3" t="s">
        <v>1636</v>
      </c>
      <c r="Y27" s="3" t="s">
        <v>969</v>
      </c>
      <c r="Z27" s="3" t="s">
        <v>1637</v>
      </c>
      <c r="AA27" s="3" t="s">
        <v>971</v>
      </c>
      <c r="AB27" s="4"/>
      <c r="AC27" s="3" t="s">
        <v>6</v>
      </c>
      <c r="AD27" s="3" t="s">
        <v>1638</v>
      </c>
      <c r="AE27" s="3" t="s">
        <v>1639</v>
      </c>
      <c r="AF27" s="3" t="s">
        <v>1250</v>
      </c>
      <c r="AG27" s="3" t="s">
        <v>1640</v>
      </c>
      <c r="AH27" s="3" t="s">
        <v>971</v>
      </c>
      <c r="AI27" s="4"/>
      <c r="AJ27" s="3" t="s">
        <v>1641</v>
      </c>
      <c r="AK27" s="4"/>
      <c r="AL27" s="3" t="s">
        <v>1642</v>
      </c>
      <c r="AM27" s="3" t="s">
        <v>1643</v>
      </c>
      <c r="AN27" s="3" t="s">
        <v>1644</v>
      </c>
      <c r="AO27" s="3" t="s">
        <v>1645</v>
      </c>
      <c r="AP27" s="3" t="s">
        <v>1646</v>
      </c>
      <c r="AQ27" s="3" t="s">
        <v>1647</v>
      </c>
      <c r="AR27" s="3" t="s">
        <v>1648</v>
      </c>
      <c r="AS27" s="3" t="s">
        <v>971</v>
      </c>
      <c r="AT27" s="3" t="s">
        <v>969</v>
      </c>
      <c r="AU27" s="3" t="s">
        <v>1260</v>
      </c>
      <c r="AV27" s="3" t="s">
        <v>1649</v>
      </c>
      <c r="AW27" s="4"/>
      <c r="AX27" s="3" t="s">
        <v>969</v>
      </c>
      <c r="AY27" s="27">
        <v>15.99</v>
      </c>
      <c r="AZ27" s="5" t="s">
        <v>27</v>
      </c>
      <c r="BA27" s="5" t="s">
        <v>43</v>
      </c>
    </row>
    <row r="28" ht="15.75" customHeight="1">
      <c r="A28" s="24"/>
      <c r="B28" s="24">
        <v>56.0</v>
      </c>
      <c r="C28" s="21" t="s">
        <v>24</v>
      </c>
      <c r="D28" s="3" t="s">
        <v>953</v>
      </c>
      <c r="E28" s="25">
        <v>46192.91805555556</v>
      </c>
      <c r="F28" s="3" t="s">
        <v>87</v>
      </c>
      <c r="G28" s="3" t="s">
        <v>1650</v>
      </c>
      <c r="H28" s="3" t="s">
        <v>574</v>
      </c>
      <c r="I28" s="3" t="s">
        <v>1651</v>
      </c>
      <c r="J28" s="3" t="s">
        <v>1652</v>
      </c>
      <c r="K28" s="3" t="s">
        <v>1653</v>
      </c>
      <c r="L28" s="3" t="s">
        <v>1654</v>
      </c>
      <c r="M28" s="26">
        <v>31778.0</v>
      </c>
      <c r="N28" s="3" t="s">
        <v>1655</v>
      </c>
      <c r="O28" s="3" t="s">
        <v>1656</v>
      </c>
      <c r="P28" s="3" t="s">
        <v>1657</v>
      </c>
      <c r="Q28" s="3" t="s">
        <v>1658</v>
      </c>
      <c r="R28" s="3" t="s">
        <v>1659</v>
      </c>
      <c r="S28" s="3" t="s">
        <v>1660</v>
      </c>
      <c r="T28" s="3" t="s">
        <v>1661</v>
      </c>
      <c r="U28" s="3" t="s">
        <v>1662</v>
      </c>
      <c r="V28" s="3" t="s">
        <v>1663</v>
      </c>
      <c r="W28" s="3" t="s">
        <v>1664</v>
      </c>
      <c r="X28" s="3" t="s">
        <v>1665</v>
      </c>
      <c r="Y28" s="3" t="s">
        <v>969</v>
      </c>
      <c r="Z28" s="3" t="s">
        <v>1666</v>
      </c>
      <c r="AA28" s="3" t="s">
        <v>971</v>
      </c>
      <c r="AB28" s="4"/>
      <c r="AC28" s="4"/>
      <c r="AD28" s="3" t="s">
        <v>1667</v>
      </c>
      <c r="AE28" s="4"/>
      <c r="AF28" s="3" t="s">
        <v>1250</v>
      </c>
      <c r="AG28" s="3" t="s">
        <v>1668</v>
      </c>
      <c r="AH28" s="3" t="s">
        <v>969</v>
      </c>
      <c r="AI28" s="3" t="s">
        <v>1669</v>
      </c>
      <c r="AJ28" s="3" t="s">
        <v>971</v>
      </c>
      <c r="AK28" s="4"/>
      <c r="AL28" s="3" t="s">
        <v>1670</v>
      </c>
      <c r="AM28" s="3" t="s">
        <v>1671</v>
      </c>
      <c r="AN28" s="3" t="s">
        <v>1672</v>
      </c>
      <c r="AO28" s="3" t="s">
        <v>1673</v>
      </c>
      <c r="AP28" s="3" t="s">
        <v>1674</v>
      </c>
      <c r="AQ28" s="3" t="s">
        <v>1675</v>
      </c>
      <c r="AR28" s="3" t="s">
        <v>1676</v>
      </c>
      <c r="AS28" s="3" t="s">
        <v>969</v>
      </c>
      <c r="AT28" s="3" t="s">
        <v>969</v>
      </c>
      <c r="AU28" s="3" t="s">
        <v>1260</v>
      </c>
      <c r="AV28" s="3" t="s">
        <v>1677</v>
      </c>
      <c r="AW28" s="4"/>
      <c r="AX28" s="3" t="s">
        <v>969</v>
      </c>
      <c r="AY28" s="27">
        <v>15.99</v>
      </c>
      <c r="AZ28" s="5" t="s">
        <v>85</v>
      </c>
      <c r="BA28" s="5" t="s">
        <v>22</v>
      </c>
    </row>
    <row r="29" ht="15.75" customHeight="1">
      <c r="A29" s="24"/>
      <c r="B29" s="24">
        <v>40.0</v>
      </c>
      <c r="C29" s="21" t="s">
        <v>24</v>
      </c>
      <c r="D29" s="3" t="s">
        <v>953</v>
      </c>
      <c r="E29" s="25">
        <v>46188.92291666667</v>
      </c>
      <c r="F29" s="3" t="s">
        <v>60</v>
      </c>
      <c r="G29" s="3" t="s">
        <v>60</v>
      </c>
      <c r="H29" s="3" t="s">
        <v>781</v>
      </c>
      <c r="I29" s="3" t="s">
        <v>1678</v>
      </c>
      <c r="J29" s="3" t="s">
        <v>1679</v>
      </c>
      <c r="K29" s="3" t="s">
        <v>1361</v>
      </c>
      <c r="L29" s="3" t="s">
        <v>1680</v>
      </c>
      <c r="M29" s="26">
        <v>33390.0</v>
      </c>
      <c r="N29" s="3" t="s">
        <v>1681</v>
      </c>
      <c r="O29" s="3" t="s">
        <v>1682</v>
      </c>
      <c r="P29" s="3" t="s">
        <v>1683</v>
      </c>
      <c r="Q29" s="3" t="s">
        <v>1684</v>
      </c>
      <c r="R29" s="3" t="s">
        <v>1684</v>
      </c>
      <c r="S29" s="3" t="s">
        <v>1685</v>
      </c>
      <c r="T29" s="3" t="s">
        <v>1686</v>
      </c>
      <c r="U29" s="3" t="s">
        <v>1662</v>
      </c>
      <c r="V29" s="3" t="s">
        <v>1687</v>
      </c>
      <c r="W29" s="3" t="s">
        <v>1688</v>
      </c>
      <c r="X29" s="3" t="s">
        <v>1689</v>
      </c>
      <c r="Y29" s="3" t="s">
        <v>969</v>
      </c>
      <c r="Z29" s="3" t="s">
        <v>1690</v>
      </c>
      <c r="AA29" s="3" t="s">
        <v>971</v>
      </c>
      <c r="AB29" s="3" t="s">
        <v>1684</v>
      </c>
      <c r="AC29" s="3" t="s">
        <v>969</v>
      </c>
      <c r="AD29" s="3" t="s">
        <v>969</v>
      </c>
      <c r="AE29" s="3" t="s">
        <v>1691</v>
      </c>
      <c r="AF29" s="3" t="s">
        <v>1692</v>
      </c>
      <c r="AG29" s="3" t="s">
        <v>1693</v>
      </c>
      <c r="AH29" s="3" t="s">
        <v>969</v>
      </c>
      <c r="AI29" s="3" t="s">
        <v>1694</v>
      </c>
      <c r="AJ29" s="3" t="s">
        <v>1695</v>
      </c>
      <c r="AK29" s="3" t="s">
        <v>1696</v>
      </c>
      <c r="AL29" s="3" t="s">
        <v>1697</v>
      </c>
      <c r="AM29" s="3" t="s">
        <v>1698</v>
      </c>
      <c r="AN29" s="3" t="s">
        <v>1699</v>
      </c>
      <c r="AO29" s="3" t="s">
        <v>1700</v>
      </c>
      <c r="AP29" s="3" t="s">
        <v>1701</v>
      </c>
      <c r="AQ29" s="3" t="s">
        <v>1702</v>
      </c>
      <c r="AR29" s="3" t="s">
        <v>1703</v>
      </c>
      <c r="AS29" s="3" t="s">
        <v>969</v>
      </c>
      <c r="AT29" s="3" t="s">
        <v>969</v>
      </c>
      <c r="AU29" s="3" t="s">
        <v>1039</v>
      </c>
      <c r="AV29" s="3" t="s">
        <v>918</v>
      </c>
      <c r="AW29" s="3" t="s">
        <v>1704</v>
      </c>
      <c r="AX29" s="3" t="s">
        <v>969</v>
      </c>
      <c r="AY29" s="27">
        <v>15.99</v>
      </c>
      <c r="AZ29" s="5" t="s">
        <v>27</v>
      </c>
      <c r="BA29" s="5" t="s">
        <v>22</v>
      </c>
    </row>
    <row r="30" ht="15.75" customHeight="1">
      <c r="A30" s="24"/>
      <c r="B30" s="24">
        <v>20.0</v>
      </c>
      <c r="C30" s="21" t="s">
        <v>24</v>
      </c>
      <c r="D30" s="3" t="s">
        <v>953</v>
      </c>
      <c r="E30" s="25">
        <v>46176.02013888889</v>
      </c>
      <c r="F30" s="3" t="s">
        <v>33</v>
      </c>
      <c r="G30" s="3" t="s">
        <v>33</v>
      </c>
      <c r="H30" s="3" t="s">
        <v>443</v>
      </c>
      <c r="I30" s="3" t="s">
        <v>1705</v>
      </c>
      <c r="J30" s="3" t="s">
        <v>1706</v>
      </c>
      <c r="K30" s="3" t="s">
        <v>1707</v>
      </c>
      <c r="L30" s="3" t="s">
        <v>1708</v>
      </c>
      <c r="M30" s="26">
        <v>37803.0</v>
      </c>
      <c r="N30" s="3" t="s">
        <v>1709</v>
      </c>
      <c r="O30" s="3" t="s">
        <v>1710</v>
      </c>
      <c r="P30" s="3" t="s">
        <v>1711</v>
      </c>
      <c r="Q30" s="4"/>
      <c r="R30" s="4"/>
      <c r="S30" s="3" t="s">
        <v>1712</v>
      </c>
      <c r="T30" s="3" t="s">
        <v>1713</v>
      </c>
      <c r="U30" s="3" t="s">
        <v>1184</v>
      </c>
      <c r="V30" s="3" t="s">
        <v>1714</v>
      </c>
      <c r="W30" s="3" t="s">
        <v>1715</v>
      </c>
      <c r="X30" s="3" t="s">
        <v>1716</v>
      </c>
      <c r="Y30" s="3" t="s">
        <v>969</v>
      </c>
      <c r="Z30" s="3" t="s">
        <v>1707</v>
      </c>
      <c r="AA30" s="3" t="s">
        <v>971</v>
      </c>
      <c r="AB30" s="3" t="s">
        <v>1716</v>
      </c>
      <c r="AC30" s="3" t="s">
        <v>6</v>
      </c>
      <c r="AD30" s="3" t="s">
        <v>1717</v>
      </c>
      <c r="AE30" s="4"/>
      <c r="AF30" s="3" t="s">
        <v>1718</v>
      </c>
      <c r="AG30" s="3" t="s">
        <v>1719</v>
      </c>
      <c r="AH30" s="3" t="s">
        <v>971</v>
      </c>
      <c r="AI30" s="4"/>
      <c r="AJ30" s="3" t="s">
        <v>1720</v>
      </c>
      <c r="AK30" s="3" t="s">
        <v>1721</v>
      </c>
      <c r="AL30" s="3" t="s">
        <v>1722</v>
      </c>
      <c r="AM30" s="3" t="s">
        <v>1723</v>
      </c>
      <c r="AN30" s="3" t="s">
        <v>1724</v>
      </c>
      <c r="AO30" s="3" t="s">
        <v>1725</v>
      </c>
      <c r="AP30" s="3" t="s">
        <v>1726</v>
      </c>
      <c r="AQ30" s="3" t="s">
        <v>1727</v>
      </c>
      <c r="AR30" s="3" t="s">
        <v>1728</v>
      </c>
      <c r="AS30" s="3" t="s">
        <v>969</v>
      </c>
      <c r="AT30" s="3" t="s">
        <v>969</v>
      </c>
      <c r="AU30" s="3" t="s">
        <v>981</v>
      </c>
      <c r="AV30" s="3" t="s">
        <v>1729</v>
      </c>
      <c r="AW30" s="3" t="s">
        <v>1288</v>
      </c>
      <c r="AX30" s="3" t="s">
        <v>969</v>
      </c>
      <c r="AY30" s="27">
        <v>15.99</v>
      </c>
      <c r="AZ30" s="5" t="s">
        <v>27</v>
      </c>
      <c r="BA30" s="5" t="s">
        <v>22</v>
      </c>
    </row>
    <row r="31" ht="15.75" customHeight="1">
      <c r="A31" s="24"/>
      <c r="B31" s="24">
        <v>183.0</v>
      </c>
      <c r="C31" s="5" t="s">
        <v>24</v>
      </c>
      <c r="D31" s="3" t="s">
        <v>953</v>
      </c>
      <c r="E31" s="25">
        <v>46215.86875</v>
      </c>
      <c r="F31" s="3" t="s">
        <v>341</v>
      </c>
      <c r="G31" s="3" t="s">
        <v>341</v>
      </c>
      <c r="H31" s="3" t="s">
        <v>501</v>
      </c>
      <c r="I31" s="3" t="s">
        <v>1730</v>
      </c>
      <c r="J31" s="3" t="s">
        <v>1731</v>
      </c>
      <c r="K31" s="3" t="s">
        <v>1015</v>
      </c>
      <c r="L31" s="3" t="s">
        <v>1732</v>
      </c>
      <c r="M31" s="26">
        <v>38771.0</v>
      </c>
      <c r="N31" s="3" t="s">
        <v>1733</v>
      </c>
      <c r="O31" s="3" t="s">
        <v>1734</v>
      </c>
      <c r="P31" s="3" t="s">
        <v>1735</v>
      </c>
      <c r="Q31" s="4"/>
      <c r="R31" s="4"/>
      <c r="S31" s="3" t="s">
        <v>1736</v>
      </c>
      <c r="T31" s="3" t="s">
        <v>1737</v>
      </c>
      <c r="U31" s="3" t="s">
        <v>1738</v>
      </c>
      <c r="V31" s="3" t="s">
        <v>1739</v>
      </c>
      <c r="W31" s="3" t="s">
        <v>1740</v>
      </c>
      <c r="X31" s="3" t="s">
        <v>1741</v>
      </c>
      <c r="Y31" s="3" t="s">
        <v>969</v>
      </c>
      <c r="Z31" s="3" t="s">
        <v>1026</v>
      </c>
      <c r="AA31" s="3" t="s">
        <v>971</v>
      </c>
      <c r="AB31" s="3" t="s">
        <v>1741</v>
      </c>
      <c r="AC31" s="3" t="s">
        <v>1742</v>
      </c>
      <c r="AD31" s="3" t="s">
        <v>1743</v>
      </c>
      <c r="AE31" s="3" t="s">
        <v>1744</v>
      </c>
      <c r="AF31" s="3" t="s">
        <v>1745</v>
      </c>
      <c r="AG31" s="3" t="s">
        <v>1746</v>
      </c>
      <c r="AH31" s="3" t="s">
        <v>971</v>
      </c>
      <c r="AI31" s="4"/>
      <c r="AJ31" s="3" t="s">
        <v>6</v>
      </c>
      <c r="AK31" s="3" t="s">
        <v>1747</v>
      </c>
      <c r="AL31" s="3" t="s">
        <v>1748</v>
      </c>
      <c r="AM31" s="3" t="s">
        <v>1749</v>
      </c>
      <c r="AN31" s="3" t="s">
        <v>1750</v>
      </c>
      <c r="AO31" s="3" t="s">
        <v>1751</v>
      </c>
      <c r="AP31" s="3" t="s">
        <v>1752</v>
      </c>
      <c r="AQ31" s="3" t="s">
        <v>1753</v>
      </c>
      <c r="AR31" s="3" t="s">
        <v>1754</v>
      </c>
      <c r="AS31" s="3" t="s">
        <v>969</v>
      </c>
      <c r="AT31" s="3" t="s">
        <v>969</v>
      </c>
      <c r="AU31" s="3" t="s">
        <v>1039</v>
      </c>
      <c r="AV31" s="3" t="s">
        <v>917</v>
      </c>
      <c r="AW31" s="3" t="s">
        <v>1755</v>
      </c>
      <c r="AX31" s="3" t="s">
        <v>969</v>
      </c>
      <c r="AY31" s="27">
        <v>15.99</v>
      </c>
      <c r="AZ31" s="5" t="s">
        <v>24</v>
      </c>
      <c r="BA31" s="5" t="s">
        <v>22</v>
      </c>
    </row>
    <row r="32" ht="15.75" customHeight="1">
      <c r="A32" s="24"/>
      <c r="B32" s="24">
        <v>178.0</v>
      </c>
      <c r="C32" s="5" t="s">
        <v>24</v>
      </c>
      <c r="D32" s="3" t="s">
        <v>953</v>
      </c>
      <c r="E32" s="25">
        <v>46215.43263888889</v>
      </c>
      <c r="F32" s="3" t="s">
        <v>837</v>
      </c>
      <c r="G32" s="3" t="s">
        <v>1756</v>
      </c>
      <c r="H32" s="3" t="s">
        <v>335</v>
      </c>
      <c r="I32" s="3" t="s">
        <v>1757</v>
      </c>
      <c r="J32" s="3" t="s">
        <v>1758</v>
      </c>
      <c r="K32" s="3" t="s">
        <v>1094</v>
      </c>
      <c r="L32" s="3" t="s">
        <v>1759</v>
      </c>
      <c r="M32" s="26">
        <v>38868.0</v>
      </c>
      <c r="N32" s="3" t="s">
        <v>1760</v>
      </c>
      <c r="O32" s="3" t="s">
        <v>1761</v>
      </c>
      <c r="P32" s="3" t="s">
        <v>1762</v>
      </c>
      <c r="Q32" s="3" t="s">
        <v>1763</v>
      </c>
      <c r="R32" s="4"/>
      <c r="S32" s="3" t="s">
        <v>1764</v>
      </c>
      <c r="T32" s="3" t="s">
        <v>1765</v>
      </c>
      <c r="U32" s="3" t="s">
        <v>1766</v>
      </c>
      <c r="V32" s="3" t="s">
        <v>1767</v>
      </c>
      <c r="W32" s="3" t="s">
        <v>1768</v>
      </c>
      <c r="X32" s="3" t="s">
        <v>1769</v>
      </c>
      <c r="Y32" s="3" t="s">
        <v>969</v>
      </c>
      <c r="Z32" s="3" t="s">
        <v>1321</v>
      </c>
      <c r="AA32" s="3" t="s">
        <v>969</v>
      </c>
      <c r="AB32" s="3" t="s">
        <v>1770</v>
      </c>
      <c r="AC32" s="3" t="s">
        <v>1771</v>
      </c>
      <c r="AD32" s="3" t="s">
        <v>1772</v>
      </c>
      <c r="AE32" s="3" t="s">
        <v>1773</v>
      </c>
      <c r="AF32" s="3" t="s">
        <v>1774</v>
      </c>
      <c r="AG32" s="3" t="s">
        <v>1775</v>
      </c>
      <c r="AH32" s="3" t="s">
        <v>971</v>
      </c>
      <c r="AI32" s="4"/>
      <c r="AJ32" s="3" t="s">
        <v>1776</v>
      </c>
      <c r="AK32" s="3" t="s">
        <v>1777</v>
      </c>
      <c r="AL32" s="3" t="s">
        <v>1778</v>
      </c>
      <c r="AM32" s="3" t="s">
        <v>1779</v>
      </c>
      <c r="AN32" s="3" t="s">
        <v>1780</v>
      </c>
      <c r="AO32" s="3" t="s">
        <v>1781</v>
      </c>
      <c r="AP32" s="3" t="s">
        <v>1782</v>
      </c>
      <c r="AQ32" s="3" t="s">
        <v>1783</v>
      </c>
      <c r="AR32" s="3" t="s">
        <v>1784</v>
      </c>
      <c r="AS32" s="3" t="s">
        <v>969</v>
      </c>
      <c r="AT32" s="3" t="s">
        <v>969</v>
      </c>
      <c r="AU32" s="3" t="s">
        <v>1039</v>
      </c>
      <c r="AV32" s="3" t="s">
        <v>1498</v>
      </c>
      <c r="AW32" s="3" t="s">
        <v>1785</v>
      </c>
      <c r="AX32" s="3" t="s">
        <v>969</v>
      </c>
      <c r="AY32" s="27">
        <v>15.99</v>
      </c>
      <c r="AZ32" s="5" t="s">
        <v>24</v>
      </c>
      <c r="BA32" s="5" t="s">
        <v>43</v>
      </c>
    </row>
    <row r="33" ht="15.75" customHeight="1">
      <c r="A33" s="24"/>
      <c r="B33" s="24">
        <v>177.0</v>
      </c>
      <c r="C33" s="5" t="s">
        <v>24</v>
      </c>
      <c r="D33" s="3" t="s">
        <v>953</v>
      </c>
      <c r="E33" s="25">
        <v>46215.13194444445</v>
      </c>
      <c r="F33" s="3" t="s">
        <v>333</v>
      </c>
      <c r="G33" s="3" t="s">
        <v>1786</v>
      </c>
      <c r="H33" s="3" t="s">
        <v>642</v>
      </c>
      <c r="I33" s="3" t="s">
        <v>1787</v>
      </c>
      <c r="J33" s="3" t="s">
        <v>1788</v>
      </c>
      <c r="K33" s="3" t="s">
        <v>1789</v>
      </c>
      <c r="L33" s="3" t="s">
        <v>1790</v>
      </c>
      <c r="M33" s="26">
        <v>36570.0</v>
      </c>
      <c r="N33" s="3" t="s">
        <v>1791</v>
      </c>
      <c r="O33" s="3" t="s">
        <v>1792</v>
      </c>
      <c r="P33" s="3" t="s">
        <v>1793</v>
      </c>
      <c r="Q33" s="3" t="s">
        <v>1794</v>
      </c>
      <c r="R33" s="3" t="s">
        <v>1795</v>
      </c>
      <c r="S33" s="3" t="s">
        <v>1796</v>
      </c>
      <c r="T33" s="3" t="s">
        <v>1797</v>
      </c>
      <c r="U33" s="3" t="s">
        <v>1798</v>
      </c>
      <c r="V33" s="3" t="s">
        <v>1050</v>
      </c>
      <c r="W33" s="3" t="s">
        <v>1799</v>
      </c>
      <c r="X33" s="3" t="s">
        <v>1800</v>
      </c>
      <c r="Y33" s="3" t="s">
        <v>969</v>
      </c>
      <c r="Z33" s="3" t="s">
        <v>1801</v>
      </c>
      <c r="AA33" s="3" t="s">
        <v>971</v>
      </c>
      <c r="AB33" s="4"/>
      <c r="AC33" s="3" t="s">
        <v>969</v>
      </c>
      <c r="AD33" s="3" t="s">
        <v>1802</v>
      </c>
      <c r="AE33" s="4"/>
      <c r="AF33" s="3" t="s">
        <v>1803</v>
      </c>
      <c r="AG33" s="3" t="s">
        <v>1804</v>
      </c>
      <c r="AH33" s="3" t="s">
        <v>971</v>
      </c>
      <c r="AI33" s="3" t="s">
        <v>1805</v>
      </c>
      <c r="AJ33" s="3" t="s">
        <v>969</v>
      </c>
      <c r="AK33" s="3" t="s">
        <v>1806</v>
      </c>
      <c r="AL33" s="3" t="s">
        <v>1807</v>
      </c>
      <c r="AM33" s="3" t="s">
        <v>1808</v>
      </c>
      <c r="AN33" s="3" t="s">
        <v>1809</v>
      </c>
      <c r="AO33" s="3" t="s">
        <v>1810</v>
      </c>
      <c r="AP33" s="3" t="s">
        <v>1811</v>
      </c>
      <c r="AQ33" s="3" t="s">
        <v>1812</v>
      </c>
      <c r="AR33" s="3" t="s">
        <v>1813</v>
      </c>
      <c r="AS33" s="3" t="s">
        <v>969</v>
      </c>
      <c r="AT33" s="3" t="s">
        <v>969</v>
      </c>
      <c r="AU33" s="3" t="s">
        <v>1039</v>
      </c>
      <c r="AV33" s="3" t="s">
        <v>1814</v>
      </c>
      <c r="AW33" s="3" t="s">
        <v>1039</v>
      </c>
      <c r="AX33" s="3" t="s">
        <v>969</v>
      </c>
      <c r="AY33" s="27">
        <v>15.99</v>
      </c>
      <c r="AZ33" s="5" t="s">
        <v>24</v>
      </c>
      <c r="BA33" s="5" t="s">
        <v>22</v>
      </c>
    </row>
    <row r="34" ht="15.75" customHeight="1">
      <c r="A34" s="24"/>
      <c r="B34" s="24">
        <v>176.0</v>
      </c>
      <c r="C34" s="5" t="s">
        <v>24</v>
      </c>
      <c r="D34" s="3" t="s">
        <v>953</v>
      </c>
      <c r="E34" s="25">
        <v>46214.94166666667</v>
      </c>
      <c r="F34" s="3" t="s">
        <v>331</v>
      </c>
      <c r="G34" s="3" t="s">
        <v>331</v>
      </c>
      <c r="H34" s="3" t="s">
        <v>786</v>
      </c>
      <c r="I34" s="3" t="s">
        <v>1815</v>
      </c>
      <c r="J34" s="3" t="s">
        <v>1816</v>
      </c>
      <c r="K34" s="3" t="s">
        <v>1015</v>
      </c>
      <c r="L34" s="3" t="s">
        <v>1817</v>
      </c>
      <c r="M34" s="26">
        <v>35682.0</v>
      </c>
      <c r="N34" s="3" t="s">
        <v>1818</v>
      </c>
      <c r="O34" s="3" t="s">
        <v>1819</v>
      </c>
      <c r="P34" s="3" t="s">
        <v>1820</v>
      </c>
      <c r="Q34" s="4"/>
      <c r="R34" s="4"/>
      <c r="S34" s="3" t="s">
        <v>1821</v>
      </c>
      <c r="T34" s="3" t="s">
        <v>1822</v>
      </c>
      <c r="U34" s="3" t="s">
        <v>1396</v>
      </c>
      <c r="V34" s="3" t="s">
        <v>1823</v>
      </c>
      <c r="W34" s="4"/>
      <c r="X34" s="3" t="s">
        <v>1824</v>
      </c>
      <c r="Y34" s="3" t="s">
        <v>971</v>
      </c>
      <c r="Z34" s="3" t="s">
        <v>1825</v>
      </c>
      <c r="AA34" s="3" t="s">
        <v>971</v>
      </c>
      <c r="AB34" s="4"/>
      <c r="AC34" s="4"/>
      <c r="AD34" s="3" t="s">
        <v>971</v>
      </c>
      <c r="AE34" s="4"/>
      <c r="AF34" s="4"/>
      <c r="AG34" s="4"/>
      <c r="AH34" s="3" t="s">
        <v>969</v>
      </c>
      <c r="AI34" s="3" t="s">
        <v>1826</v>
      </c>
      <c r="AJ34" s="4"/>
      <c r="AK34" s="4"/>
      <c r="AL34" s="3" t="s">
        <v>1827</v>
      </c>
      <c r="AM34" s="3" t="s">
        <v>1828</v>
      </c>
      <c r="AN34" s="3" t="s">
        <v>1829</v>
      </c>
      <c r="AO34" s="3" t="s">
        <v>1830</v>
      </c>
      <c r="AP34" s="3" t="s">
        <v>1831</v>
      </c>
      <c r="AQ34" s="3" t="s">
        <v>1832</v>
      </c>
      <c r="AR34" s="3" t="s">
        <v>1833</v>
      </c>
      <c r="AS34" s="3" t="s">
        <v>969</v>
      </c>
      <c r="AT34" s="3" t="s">
        <v>969</v>
      </c>
      <c r="AU34" s="3" t="s">
        <v>981</v>
      </c>
      <c r="AV34" s="3" t="s">
        <v>1834</v>
      </c>
      <c r="AW34" s="3" t="s">
        <v>1835</v>
      </c>
      <c r="AX34" s="3" t="s">
        <v>969</v>
      </c>
      <c r="AY34" s="27">
        <v>15.99</v>
      </c>
      <c r="AZ34" s="5" t="s">
        <v>24</v>
      </c>
      <c r="BA34" s="5" t="s">
        <v>22</v>
      </c>
    </row>
    <row r="35" ht="15.75" customHeight="1">
      <c r="A35" s="24"/>
      <c r="B35" s="24">
        <v>170.0</v>
      </c>
      <c r="C35" s="5" t="s">
        <v>24</v>
      </c>
      <c r="D35" s="3" t="s">
        <v>953</v>
      </c>
      <c r="E35" s="25">
        <v>46210.60972222222</v>
      </c>
      <c r="F35" s="3" t="s">
        <v>842</v>
      </c>
      <c r="G35" s="3" t="s">
        <v>842</v>
      </c>
      <c r="H35" s="3" t="s">
        <v>320</v>
      </c>
      <c r="I35" s="3" t="s">
        <v>1836</v>
      </c>
      <c r="J35" s="3" t="s">
        <v>1837</v>
      </c>
      <c r="K35" s="3" t="s">
        <v>1838</v>
      </c>
      <c r="L35" s="3" t="s">
        <v>1839</v>
      </c>
      <c r="M35" s="26">
        <v>35044.0</v>
      </c>
      <c r="N35" s="3" t="s">
        <v>1840</v>
      </c>
      <c r="O35" s="3" t="s">
        <v>1841</v>
      </c>
      <c r="P35" s="4"/>
      <c r="Q35" s="4"/>
      <c r="R35" s="4"/>
      <c r="S35" s="3" t="s">
        <v>1842</v>
      </c>
      <c r="T35" s="3" t="s">
        <v>1843</v>
      </c>
      <c r="U35" s="3" t="s">
        <v>1245</v>
      </c>
      <c r="V35" s="3" t="s">
        <v>1844</v>
      </c>
      <c r="W35" s="3" t="s">
        <v>1845</v>
      </c>
      <c r="X35" s="3" t="s">
        <v>1846</v>
      </c>
      <c r="Y35" s="3" t="s">
        <v>971</v>
      </c>
      <c r="Z35" s="3" t="s">
        <v>1080</v>
      </c>
      <c r="AA35" s="3" t="s">
        <v>969</v>
      </c>
      <c r="AB35" s="3" t="s">
        <v>1846</v>
      </c>
      <c r="AC35" s="3" t="s">
        <v>969</v>
      </c>
      <c r="AD35" s="3" t="s">
        <v>1847</v>
      </c>
      <c r="AE35" s="3" t="s">
        <v>1848</v>
      </c>
      <c r="AF35" s="3" t="s">
        <v>1849</v>
      </c>
      <c r="AG35" s="3" t="s">
        <v>1850</v>
      </c>
      <c r="AH35" s="3" t="s">
        <v>969</v>
      </c>
      <c r="AI35" s="3" t="s">
        <v>1851</v>
      </c>
      <c r="AJ35" s="3" t="s">
        <v>966</v>
      </c>
      <c r="AK35" s="4"/>
      <c r="AL35" s="3" t="s">
        <v>1852</v>
      </c>
      <c r="AM35" s="3" t="s">
        <v>1853</v>
      </c>
      <c r="AN35" s="3" t="s">
        <v>1854</v>
      </c>
      <c r="AO35" s="3" t="s">
        <v>1855</v>
      </c>
      <c r="AP35" s="3" t="s">
        <v>1856</v>
      </c>
      <c r="AQ35" s="3" t="s">
        <v>1857</v>
      </c>
      <c r="AR35" s="3" t="s">
        <v>1858</v>
      </c>
      <c r="AS35" s="3" t="s">
        <v>969</v>
      </c>
      <c r="AT35" s="3" t="s">
        <v>969</v>
      </c>
      <c r="AU35" s="3" t="s">
        <v>1039</v>
      </c>
      <c r="AV35" s="3" t="s">
        <v>1090</v>
      </c>
      <c r="AW35" s="3" t="s">
        <v>1859</v>
      </c>
      <c r="AX35" s="3" t="s">
        <v>969</v>
      </c>
      <c r="AY35" s="27">
        <v>15.99</v>
      </c>
      <c r="AZ35" s="5" t="s">
        <v>24</v>
      </c>
      <c r="BA35" s="5" t="s">
        <v>43</v>
      </c>
    </row>
    <row r="36" ht="15.75" customHeight="1">
      <c r="A36" s="24"/>
      <c r="B36" s="24">
        <v>166.0</v>
      </c>
      <c r="C36" s="5" t="s">
        <v>24</v>
      </c>
      <c r="D36" s="3" t="s">
        <v>953</v>
      </c>
      <c r="E36" s="25">
        <v>46209.13125</v>
      </c>
      <c r="F36" s="3" t="s">
        <v>1860</v>
      </c>
      <c r="G36" s="3" t="s">
        <v>1861</v>
      </c>
      <c r="H36" s="3" t="s">
        <v>702</v>
      </c>
      <c r="I36" s="3" t="s">
        <v>1862</v>
      </c>
      <c r="J36" s="3" t="s">
        <v>1863</v>
      </c>
      <c r="K36" s="3" t="s">
        <v>1864</v>
      </c>
      <c r="L36" s="3" t="s">
        <v>1865</v>
      </c>
      <c r="M36" s="26">
        <v>36165.0</v>
      </c>
      <c r="N36" s="3" t="s">
        <v>1866</v>
      </c>
      <c r="O36" s="3" t="s">
        <v>1867</v>
      </c>
      <c r="P36" s="4"/>
      <c r="Q36" s="4"/>
      <c r="R36" s="3" t="s">
        <v>1868</v>
      </c>
      <c r="S36" s="3" t="s">
        <v>1869</v>
      </c>
      <c r="T36" s="3" t="s">
        <v>1870</v>
      </c>
      <c r="U36" s="3" t="s">
        <v>1155</v>
      </c>
      <c r="V36" s="3" t="s">
        <v>1871</v>
      </c>
      <c r="W36" s="3" t="s">
        <v>1872</v>
      </c>
      <c r="X36" s="3" t="s">
        <v>1873</v>
      </c>
      <c r="Y36" s="3" t="s">
        <v>971</v>
      </c>
      <c r="Z36" s="3" t="s">
        <v>1874</v>
      </c>
      <c r="AA36" s="3" t="s">
        <v>971</v>
      </c>
      <c r="AB36" s="4"/>
      <c r="AC36" s="3" t="s">
        <v>969</v>
      </c>
      <c r="AD36" s="3" t="s">
        <v>1875</v>
      </c>
      <c r="AE36" s="3" t="s">
        <v>1876</v>
      </c>
      <c r="AF36" s="3" t="s">
        <v>1877</v>
      </c>
      <c r="AG36" s="3" t="s">
        <v>1878</v>
      </c>
      <c r="AH36" s="3" t="s">
        <v>969</v>
      </c>
      <c r="AI36" s="3" t="s">
        <v>1879</v>
      </c>
      <c r="AJ36" s="3" t="s">
        <v>969</v>
      </c>
      <c r="AK36" s="3" t="s">
        <v>1880</v>
      </c>
      <c r="AL36" s="3" t="s">
        <v>1881</v>
      </c>
      <c r="AM36" s="3" t="s">
        <v>1882</v>
      </c>
      <c r="AN36" s="3" t="s">
        <v>1883</v>
      </c>
      <c r="AO36" s="3" t="s">
        <v>1884</v>
      </c>
      <c r="AP36" s="3" t="s">
        <v>1885</v>
      </c>
      <c r="AQ36" s="3" t="s">
        <v>1886</v>
      </c>
      <c r="AR36" s="3" t="s">
        <v>1887</v>
      </c>
      <c r="AS36" s="3" t="s">
        <v>969</v>
      </c>
      <c r="AT36" s="3" t="s">
        <v>969</v>
      </c>
      <c r="AU36" s="3" t="s">
        <v>1039</v>
      </c>
      <c r="AV36" s="3" t="s">
        <v>1261</v>
      </c>
      <c r="AW36" s="3" t="s">
        <v>1596</v>
      </c>
      <c r="AX36" s="3" t="s">
        <v>969</v>
      </c>
      <c r="AY36" s="27">
        <v>15.99</v>
      </c>
      <c r="AZ36" s="5" t="s">
        <v>24</v>
      </c>
      <c r="BA36" s="5" t="s">
        <v>22</v>
      </c>
    </row>
    <row r="37" ht="15.75" customHeight="1">
      <c r="A37" s="24"/>
      <c r="B37" s="24">
        <v>163.0</v>
      </c>
      <c r="C37" s="5" t="s">
        <v>24</v>
      </c>
      <c r="D37" s="3" t="s">
        <v>953</v>
      </c>
      <c r="E37" s="25">
        <v>46209.07083333333</v>
      </c>
      <c r="F37" s="3" t="s">
        <v>1888</v>
      </c>
      <c r="G37" s="3" t="s">
        <v>1889</v>
      </c>
      <c r="H37" s="3" t="s">
        <v>753</v>
      </c>
      <c r="I37" s="3" t="s">
        <v>1890</v>
      </c>
      <c r="J37" s="3" t="s">
        <v>1891</v>
      </c>
      <c r="K37" s="3" t="s">
        <v>1653</v>
      </c>
      <c r="L37" s="3" t="s">
        <v>1892</v>
      </c>
      <c r="M37" s="26">
        <v>34087.0</v>
      </c>
      <c r="N37" s="3" t="s">
        <v>1893</v>
      </c>
      <c r="O37" s="3" t="s">
        <v>1892</v>
      </c>
      <c r="P37" s="4"/>
      <c r="Q37" s="4"/>
      <c r="R37" s="4"/>
      <c r="S37" s="3" t="s">
        <v>1894</v>
      </c>
      <c r="T37" s="3" t="s">
        <v>1895</v>
      </c>
      <c r="U37" s="3" t="s">
        <v>1896</v>
      </c>
      <c r="V37" s="3" t="s">
        <v>1897</v>
      </c>
      <c r="W37" s="3" t="s">
        <v>1898</v>
      </c>
      <c r="X37" s="3" t="s">
        <v>1899</v>
      </c>
      <c r="Y37" s="3" t="s">
        <v>971</v>
      </c>
      <c r="Z37" s="3" t="s">
        <v>1900</v>
      </c>
      <c r="AA37" s="3" t="s">
        <v>971</v>
      </c>
      <c r="AB37" s="4"/>
      <c r="AC37" s="4"/>
      <c r="AD37" s="3" t="s">
        <v>1901</v>
      </c>
      <c r="AE37" s="3" t="s">
        <v>1902</v>
      </c>
      <c r="AF37" s="3" t="s">
        <v>1903</v>
      </c>
      <c r="AG37" s="3" t="s">
        <v>1904</v>
      </c>
      <c r="AH37" s="3" t="s">
        <v>969</v>
      </c>
      <c r="AI37" s="3" t="s">
        <v>1905</v>
      </c>
      <c r="AJ37" s="3" t="s">
        <v>966</v>
      </c>
      <c r="AK37" s="4"/>
      <c r="AL37" s="4"/>
      <c r="AM37" s="3" t="s">
        <v>1906</v>
      </c>
      <c r="AN37" s="3" t="s">
        <v>1907</v>
      </c>
      <c r="AO37" s="3" t="s">
        <v>1908</v>
      </c>
      <c r="AP37" s="3" t="s">
        <v>1909</v>
      </c>
      <c r="AQ37" s="3" t="s">
        <v>1910</v>
      </c>
      <c r="AR37" s="3" t="s">
        <v>1911</v>
      </c>
      <c r="AS37" s="3" t="s">
        <v>969</v>
      </c>
      <c r="AT37" s="3" t="s">
        <v>969</v>
      </c>
      <c r="AU37" s="3" t="s">
        <v>1409</v>
      </c>
      <c r="AV37" s="3" t="s">
        <v>1912</v>
      </c>
      <c r="AW37" s="4"/>
      <c r="AX37" s="3" t="s">
        <v>969</v>
      </c>
      <c r="AY37" s="27">
        <v>15.99</v>
      </c>
      <c r="AZ37" s="5" t="s">
        <v>24</v>
      </c>
      <c r="BA37" s="5" t="s">
        <v>94</v>
      </c>
    </row>
    <row r="38" ht="15.75" customHeight="1">
      <c r="A38" s="24"/>
      <c r="B38" s="24">
        <v>161.0</v>
      </c>
      <c r="C38" s="5" t="s">
        <v>24</v>
      </c>
      <c r="D38" s="3" t="s">
        <v>953</v>
      </c>
      <c r="E38" s="25">
        <v>46209.05972222222</v>
      </c>
      <c r="F38" s="3" t="s">
        <v>1913</v>
      </c>
      <c r="G38" s="3" t="s">
        <v>1913</v>
      </c>
      <c r="H38" s="3" t="s">
        <v>448</v>
      </c>
      <c r="I38" s="3" t="s">
        <v>1914</v>
      </c>
      <c r="J38" s="3" t="s">
        <v>1915</v>
      </c>
      <c r="K38" s="3" t="s">
        <v>1916</v>
      </c>
      <c r="L38" s="3" t="s">
        <v>1917</v>
      </c>
      <c r="M38" s="26">
        <v>37149.0</v>
      </c>
      <c r="N38" s="3" t="s">
        <v>1918</v>
      </c>
      <c r="O38" s="3" t="s">
        <v>1919</v>
      </c>
      <c r="P38" s="3" t="s">
        <v>1920</v>
      </c>
      <c r="Q38" s="3" t="s">
        <v>1921</v>
      </c>
      <c r="R38" s="3" t="s">
        <v>1922</v>
      </c>
      <c r="S38" s="42" t="s">
        <v>1923</v>
      </c>
      <c r="T38" s="3" t="s">
        <v>1924</v>
      </c>
      <c r="U38" s="3" t="s">
        <v>1925</v>
      </c>
      <c r="V38" s="3" t="s">
        <v>1370</v>
      </c>
      <c r="W38" s="3" t="s">
        <v>1926</v>
      </c>
      <c r="X38" s="3" t="s">
        <v>1927</v>
      </c>
      <c r="Y38" s="3" t="s">
        <v>969</v>
      </c>
      <c r="Z38" s="3" t="s">
        <v>1928</v>
      </c>
      <c r="AA38" s="3" t="s">
        <v>971</v>
      </c>
      <c r="AB38" s="4"/>
      <c r="AC38" s="4"/>
      <c r="AD38" s="3" t="s">
        <v>1929</v>
      </c>
      <c r="AE38" s="3" t="s">
        <v>1930</v>
      </c>
      <c r="AF38" s="3" t="s">
        <v>1931</v>
      </c>
      <c r="AG38" s="3" t="s">
        <v>1002</v>
      </c>
      <c r="AH38" s="3" t="s">
        <v>971</v>
      </c>
      <c r="AI38" s="4"/>
      <c r="AJ38" s="4"/>
      <c r="AK38" s="4"/>
      <c r="AL38" s="4"/>
      <c r="AM38" s="3" t="s">
        <v>1932</v>
      </c>
      <c r="AN38" s="3" t="s">
        <v>1933</v>
      </c>
      <c r="AO38" s="3" t="s">
        <v>1934</v>
      </c>
      <c r="AP38" s="3" t="s">
        <v>1935</v>
      </c>
      <c r="AQ38" s="3" t="s">
        <v>1936</v>
      </c>
      <c r="AR38" s="3" t="s">
        <v>1937</v>
      </c>
      <c r="AS38" s="3" t="s">
        <v>969</v>
      </c>
      <c r="AT38" s="3" t="s">
        <v>969</v>
      </c>
      <c r="AU38" s="3" t="s">
        <v>1039</v>
      </c>
      <c r="AV38" s="3" t="s">
        <v>1938</v>
      </c>
      <c r="AW38" s="3" t="s">
        <v>1288</v>
      </c>
      <c r="AX38" s="3" t="s">
        <v>969</v>
      </c>
      <c r="AY38" s="27">
        <v>15.99</v>
      </c>
      <c r="AZ38" s="5" t="s">
        <v>24</v>
      </c>
      <c r="BA38" s="5" t="s">
        <v>162</v>
      </c>
    </row>
    <row r="39" ht="15.75" customHeight="1">
      <c r="A39" s="24"/>
      <c r="B39" s="24">
        <v>160.0</v>
      </c>
      <c r="C39" s="5" t="s">
        <v>24</v>
      </c>
      <c r="D39" s="3" t="s">
        <v>953</v>
      </c>
      <c r="E39" s="25">
        <v>46209.03611111111</v>
      </c>
      <c r="F39" s="3" t="s">
        <v>1939</v>
      </c>
      <c r="G39" s="3" t="s">
        <v>1940</v>
      </c>
      <c r="H39" s="3" t="s">
        <v>300</v>
      </c>
      <c r="I39" s="3" t="s">
        <v>1941</v>
      </c>
      <c r="J39" s="3" t="s">
        <v>1942</v>
      </c>
      <c r="K39" s="3" t="s">
        <v>1943</v>
      </c>
      <c r="L39" s="3" t="s">
        <v>1944</v>
      </c>
      <c r="M39" s="26">
        <v>35161.0</v>
      </c>
      <c r="N39" s="3" t="s">
        <v>1945</v>
      </c>
      <c r="O39" s="3" t="s">
        <v>1944</v>
      </c>
      <c r="P39" s="4"/>
      <c r="Q39" s="4"/>
      <c r="R39" s="3" t="s">
        <v>1946</v>
      </c>
      <c r="S39" s="3" t="s">
        <v>1947</v>
      </c>
      <c r="T39" s="3" t="s">
        <v>1948</v>
      </c>
      <c r="U39" s="3" t="s">
        <v>1949</v>
      </c>
      <c r="V39" s="3" t="s">
        <v>1125</v>
      </c>
      <c r="W39" s="3" t="s">
        <v>1950</v>
      </c>
      <c r="X39" s="3" t="s">
        <v>1951</v>
      </c>
      <c r="Y39" s="3" t="s">
        <v>969</v>
      </c>
      <c r="Z39" s="3" t="s">
        <v>1952</v>
      </c>
      <c r="AA39" s="3" t="s">
        <v>969</v>
      </c>
      <c r="AB39" s="3" t="s">
        <v>1953</v>
      </c>
      <c r="AC39" s="3" t="s">
        <v>969</v>
      </c>
      <c r="AD39" s="3" t="s">
        <v>969</v>
      </c>
      <c r="AE39" s="3" t="s">
        <v>1954</v>
      </c>
      <c r="AF39" s="3" t="s">
        <v>1955</v>
      </c>
      <c r="AG39" s="3" t="s">
        <v>1956</v>
      </c>
      <c r="AH39" s="3" t="s">
        <v>971</v>
      </c>
      <c r="AI39" s="4"/>
      <c r="AJ39" s="3" t="s">
        <v>969</v>
      </c>
      <c r="AK39" s="3" t="s">
        <v>1957</v>
      </c>
      <c r="AL39" s="3" t="s">
        <v>1958</v>
      </c>
      <c r="AM39" s="3" t="s">
        <v>1959</v>
      </c>
      <c r="AN39" s="3" t="s">
        <v>1960</v>
      </c>
      <c r="AO39" s="3" t="s">
        <v>1961</v>
      </c>
      <c r="AP39" s="3" t="s">
        <v>1962</v>
      </c>
      <c r="AQ39" s="3" t="s">
        <v>1963</v>
      </c>
      <c r="AR39" s="3" t="s">
        <v>1964</v>
      </c>
      <c r="AS39" s="3" t="s">
        <v>969</v>
      </c>
      <c r="AT39" s="3" t="s">
        <v>969</v>
      </c>
      <c r="AU39" s="3" t="s">
        <v>1039</v>
      </c>
      <c r="AV39" s="3" t="s">
        <v>1261</v>
      </c>
      <c r="AW39" s="3" t="s">
        <v>1965</v>
      </c>
      <c r="AX39" s="3" t="s">
        <v>969</v>
      </c>
      <c r="AY39" s="27">
        <v>15.99</v>
      </c>
      <c r="AZ39" s="5" t="s">
        <v>24</v>
      </c>
      <c r="BA39" s="5" t="s">
        <v>7</v>
      </c>
    </row>
    <row r="40" ht="15.75" customHeight="1">
      <c r="A40" s="24"/>
      <c r="B40" s="24">
        <v>159.0</v>
      </c>
      <c r="C40" s="5" t="s">
        <v>24</v>
      </c>
      <c r="D40" s="3" t="s">
        <v>953</v>
      </c>
      <c r="E40" s="25">
        <v>46209.03472222222</v>
      </c>
      <c r="F40" s="3" t="s">
        <v>1966</v>
      </c>
      <c r="G40" s="3" t="s">
        <v>1967</v>
      </c>
      <c r="H40" s="3" t="s">
        <v>291</v>
      </c>
      <c r="I40" s="3" t="s">
        <v>1968</v>
      </c>
      <c r="J40" s="3" t="s">
        <v>1969</v>
      </c>
      <c r="K40" s="3" t="s">
        <v>1653</v>
      </c>
      <c r="L40" s="3" t="s">
        <v>1970</v>
      </c>
      <c r="M40" s="26">
        <v>33756.0</v>
      </c>
      <c r="N40" s="3" t="s">
        <v>1971</v>
      </c>
      <c r="O40" s="3" t="s">
        <v>1972</v>
      </c>
      <c r="P40" s="3" t="s">
        <v>1973</v>
      </c>
      <c r="Q40" s="4"/>
      <c r="R40" s="3" t="s">
        <v>1974</v>
      </c>
      <c r="S40" s="3" t="s">
        <v>1975</v>
      </c>
      <c r="T40" s="3" t="s">
        <v>1976</v>
      </c>
      <c r="U40" s="3" t="s">
        <v>1396</v>
      </c>
      <c r="V40" s="3" t="s">
        <v>1977</v>
      </c>
      <c r="W40" s="3" t="s">
        <v>1215</v>
      </c>
      <c r="X40" s="3" t="s">
        <v>1978</v>
      </c>
      <c r="Y40" s="3" t="s">
        <v>969</v>
      </c>
      <c r="Z40" s="3" t="s">
        <v>1979</v>
      </c>
      <c r="AA40" s="3" t="s">
        <v>969</v>
      </c>
      <c r="AB40" s="3" t="s">
        <v>1980</v>
      </c>
      <c r="AC40" s="4"/>
      <c r="AD40" s="3" t="s">
        <v>1981</v>
      </c>
      <c r="AE40" s="3" t="s">
        <v>1982</v>
      </c>
      <c r="AF40" s="3" t="s">
        <v>1983</v>
      </c>
      <c r="AG40" s="3" t="s">
        <v>1984</v>
      </c>
      <c r="AH40" s="3" t="s">
        <v>969</v>
      </c>
      <c r="AI40" s="3" t="s">
        <v>1985</v>
      </c>
      <c r="AJ40" s="3" t="s">
        <v>1986</v>
      </c>
      <c r="AK40" s="3" t="s">
        <v>1987</v>
      </c>
      <c r="AL40" s="3" t="s">
        <v>1988</v>
      </c>
      <c r="AM40" s="3" t="s">
        <v>1989</v>
      </c>
      <c r="AN40" s="3" t="s">
        <v>1990</v>
      </c>
      <c r="AO40" s="3" t="s">
        <v>1991</v>
      </c>
      <c r="AP40" s="3" t="s">
        <v>1992</v>
      </c>
      <c r="AQ40" s="3" t="s">
        <v>1993</v>
      </c>
      <c r="AR40" s="3" t="s">
        <v>1994</v>
      </c>
      <c r="AS40" s="3" t="s">
        <v>969</v>
      </c>
      <c r="AT40" s="3" t="s">
        <v>969</v>
      </c>
      <c r="AU40" s="3" t="s">
        <v>1260</v>
      </c>
      <c r="AV40" s="3" t="s">
        <v>1995</v>
      </c>
      <c r="AW40" s="3" t="s">
        <v>1996</v>
      </c>
      <c r="AX40" s="3" t="s">
        <v>969</v>
      </c>
      <c r="AY40" s="27">
        <v>15.99</v>
      </c>
      <c r="AZ40" s="5" t="s">
        <v>24</v>
      </c>
      <c r="BA40" s="5" t="s">
        <v>294</v>
      </c>
    </row>
    <row r="41" ht="15.75" customHeight="1">
      <c r="A41" s="24"/>
      <c r="B41" s="24">
        <v>157.0</v>
      </c>
      <c r="C41" s="5" t="s">
        <v>24</v>
      </c>
      <c r="D41" s="3" t="s">
        <v>953</v>
      </c>
      <c r="E41" s="25">
        <v>46208.97361111111</v>
      </c>
      <c r="F41" s="3" t="s">
        <v>285</v>
      </c>
      <c r="G41" s="3" t="s">
        <v>1997</v>
      </c>
      <c r="H41" s="3" t="s">
        <v>506</v>
      </c>
      <c r="I41" s="3" t="s">
        <v>1998</v>
      </c>
      <c r="J41" s="3" t="s">
        <v>1999</v>
      </c>
      <c r="K41" s="3" t="s">
        <v>1916</v>
      </c>
      <c r="L41" s="3" t="s">
        <v>2000</v>
      </c>
      <c r="M41" s="26">
        <v>36851.0</v>
      </c>
      <c r="N41" s="3" t="s">
        <v>2001</v>
      </c>
      <c r="O41" s="3" t="s">
        <v>2002</v>
      </c>
      <c r="P41" s="3" t="s">
        <v>2003</v>
      </c>
      <c r="Q41" s="3" t="s">
        <v>2004</v>
      </c>
      <c r="R41" s="3" t="s">
        <v>2005</v>
      </c>
      <c r="S41" s="3" t="s">
        <v>2006</v>
      </c>
      <c r="T41" s="3" t="s">
        <v>2007</v>
      </c>
      <c r="U41" s="3" t="s">
        <v>1050</v>
      </c>
      <c r="V41" s="3" t="s">
        <v>1101</v>
      </c>
      <c r="W41" s="3" t="s">
        <v>2008</v>
      </c>
      <c r="X41" s="3" t="s">
        <v>2009</v>
      </c>
      <c r="Y41" s="3" t="s">
        <v>971</v>
      </c>
      <c r="Z41" s="3" t="s">
        <v>1900</v>
      </c>
      <c r="AA41" s="3" t="s">
        <v>969</v>
      </c>
      <c r="AB41" s="3" t="s">
        <v>2010</v>
      </c>
      <c r="AC41" s="3" t="s">
        <v>2011</v>
      </c>
      <c r="AD41" s="3" t="s">
        <v>2012</v>
      </c>
      <c r="AE41" s="3" t="s">
        <v>2013</v>
      </c>
      <c r="AF41" s="3" t="s">
        <v>2014</v>
      </c>
      <c r="AG41" s="3" t="s">
        <v>2015</v>
      </c>
      <c r="AH41" s="3" t="s">
        <v>969</v>
      </c>
      <c r="AI41" s="3" t="s">
        <v>2016</v>
      </c>
      <c r="AJ41" s="3" t="s">
        <v>971</v>
      </c>
      <c r="AK41" s="4"/>
      <c r="AL41" s="3" t="s">
        <v>2017</v>
      </c>
      <c r="AM41" s="3" t="s">
        <v>2018</v>
      </c>
      <c r="AN41" s="3" t="s">
        <v>2019</v>
      </c>
      <c r="AO41" s="3" t="s">
        <v>2020</v>
      </c>
      <c r="AP41" s="3" t="s">
        <v>2021</v>
      </c>
      <c r="AQ41" s="3" t="s">
        <v>2022</v>
      </c>
      <c r="AR41" s="3" t="s">
        <v>2023</v>
      </c>
      <c r="AS41" s="3" t="s">
        <v>969</v>
      </c>
      <c r="AT41" s="3" t="s">
        <v>969</v>
      </c>
      <c r="AU41" s="3" t="s">
        <v>1260</v>
      </c>
      <c r="AV41" s="3" t="s">
        <v>2024</v>
      </c>
      <c r="AW41" s="3" t="s">
        <v>2025</v>
      </c>
      <c r="AX41" s="3" t="s">
        <v>969</v>
      </c>
      <c r="AY41" s="27">
        <v>15.99</v>
      </c>
      <c r="AZ41" s="5" t="s">
        <v>24</v>
      </c>
      <c r="BA41" s="5" t="s">
        <v>22</v>
      </c>
    </row>
    <row r="42" ht="15.75" customHeight="1">
      <c r="A42" s="24"/>
      <c r="B42" s="24">
        <v>155.0</v>
      </c>
      <c r="C42" s="5" t="s">
        <v>24</v>
      </c>
      <c r="D42" s="3" t="s">
        <v>953</v>
      </c>
      <c r="E42" s="25">
        <v>46208.96527777778</v>
      </c>
      <c r="F42" s="3" t="s">
        <v>279</v>
      </c>
      <c r="G42" s="3" t="s">
        <v>2026</v>
      </c>
      <c r="H42" s="3" t="s">
        <v>560</v>
      </c>
      <c r="I42" s="3" t="s">
        <v>2027</v>
      </c>
      <c r="J42" s="3" t="s">
        <v>2028</v>
      </c>
      <c r="K42" s="3" t="s">
        <v>1653</v>
      </c>
      <c r="L42" s="3" t="s">
        <v>2029</v>
      </c>
      <c r="M42" s="26">
        <v>34528.0</v>
      </c>
      <c r="N42" s="3" t="s">
        <v>2030</v>
      </c>
      <c r="O42" s="3" t="s">
        <v>2031</v>
      </c>
      <c r="P42" s="3" t="s">
        <v>2032</v>
      </c>
      <c r="Q42" s="3" t="s">
        <v>1684</v>
      </c>
      <c r="R42" s="3" t="s">
        <v>1684</v>
      </c>
      <c r="S42" s="3" t="s">
        <v>2033</v>
      </c>
      <c r="T42" s="3" t="s">
        <v>2034</v>
      </c>
      <c r="U42" s="3" t="s">
        <v>1050</v>
      </c>
      <c r="V42" s="3" t="s">
        <v>1125</v>
      </c>
      <c r="W42" s="3" t="s">
        <v>2035</v>
      </c>
      <c r="X42" s="3" t="s">
        <v>2036</v>
      </c>
      <c r="Y42" s="3" t="s">
        <v>971</v>
      </c>
      <c r="Z42" s="3" t="s">
        <v>1979</v>
      </c>
      <c r="AA42" s="3" t="s">
        <v>971</v>
      </c>
      <c r="AB42" s="4"/>
      <c r="AC42" s="4"/>
      <c r="AD42" s="3" t="s">
        <v>2037</v>
      </c>
      <c r="AE42" s="3" t="s">
        <v>2038</v>
      </c>
      <c r="AF42" s="3" t="s">
        <v>2039</v>
      </c>
      <c r="AG42" s="3" t="s">
        <v>2040</v>
      </c>
      <c r="AH42" s="3" t="s">
        <v>969</v>
      </c>
      <c r="AI42" s="3" t="s">
        <v>2041</v>
      </c>
      <c r="AJ42" s="3" t="s">
        <v>971</v>
      </c>
      <c r="AK42" s="4"/>
      <c r="AL42" s="3" t="s">
        <v>2042</v>
      </c>
      <c r="AM42" s="3" t="s">
        <v>2043</v>
      </c>
      <c r="AN42" s="3" t="s">
        <v>2044</v>
      </c>
      <c r="AO42" s="3" t="s">
        <v>2045</v>
      </c>
      <c r="AP42" s="3" t="s">
        <v>2046</v>
      </c>
      <c r="AQ42" s="3" t="s">
        <v>2047</v>
      </c>
      <c r="AR42" s="3" t="s">
        <v>2048</v>
      </c>
      <c r="AS42" s="3" t="s">
        <v>969</v>
      </c>
      <c r="AT42" s="3" t="s">
        <v>969</v>
      </c>
      <c r="AU42" s="3" t="s">
        <v>1039</v>
      </c>
      <c r="AV42" s="3" t="s">
        <v>2049</v>
      </c>
      <c r="AW42" s="3" t="s">
        <v>1288</v>
      </c>
      <c r="AX42" s="3" t="s">
        <v>969</v>
      </c>
      <c r="AY42" s="27">
        <v>15.99</v>
      </c>
      <c r="AZ42" s="5" t="s">
        <v>24</v>
      </c>
      <c r="BA42" s="5" t="s">
        <v>22</v>
      </c>
    </row>
    <row r="43" ht="15.75" customHeight="1">
      <c r="A43" s="24"/>
      <c r="B43" s="24">
        <v>142.0</v>
      </c>
      <c r="C43" s="5" t="s">
        <v>69</v>
      </c>
      <c r="D43" s="3" t="s">
        <v>953</v>
      </c>
      <c r="E43" s="25">
        <v>46208.86736111111</v>
      </c>
      <c r="F43" s="3" t="s">
        <v>251</v>
      </c>
      <c r="G43" s="3" t="s">
        <v>2050</v>
      </c>
      <c r="H43" s="3" t="s">
        <v>252</v>
      </c>
      <c r="I43" s="3" t="s">
        <v>2051</v>
      </c>
      <c r="J43" s="3" t="s">
        <v>2052</v>
      </c>
      <c r="K43" s="3" t="s">
        <v>2053</v>
      </c>
      <c r="L43" s="3" t="s">
        <v>2054</v>
      </c>
      <c r="M43" s="26">
        <v>33895.0</v>
      </c>
      <c r="N43" s="3" t="s">
        <v>2055</v>
      </c>
      <c r="O43" s="3" t="s">
        <v>2056</v>
      </c>
      <c r="P43" s="3" t="s">
        <v>2057</v>
      </c>
      <c r="Q43" s="4"/>
      <c r="R43" s="4"/>
      <c r="S43" s="3" t="s">
        <v>2058</v>
      </c>
      <c r="T43" s="3" t="s">
        <v>2059</v>
      </c>
      <c r="U43" s="3" t="s">
        <v>1050</v>
      </c>
      <c r="V43" s="3" t="s">
        <v>2060</v>
      </c>
      <c r="W43" s="3" t="s">
        <v>2061</v>
      </c>
      <c r="X43" s="3" t="s">
        <v>2062</v>
      </c>
      <c r="Y43" s="3" t="s">
        <v>971</v>
      </c>
      <c r="Z43" s="3" t="s">
        <v>1825</v>
      </c>
      <c r="AA43" s="3" t="s">
        <v>971</v>
      </c>
      <c r="AB43" s="4"/>
      <c r="AC43" s="3" t="s">
        <v>969</v>
      </c>
      <c r="AD43" s="3" t="s">
        <v>2063</v>
      </c>
      <c r="AE43" s="3" t="s">
        <v>2064</v>
      </c>
      <c r="AF43" s="3" t="s">
        <v>1250</v>
      </c>
      <c r="AG43" s="3" t="s">
        <v>1030</v>
      </c>
      <c r="AH43" s="3" t="s">
        <v>969</v>
      </c>
      <c r="AI43" s="3" t="s">
        <v>2065</v>
      </c>
      <c r="AJ43" s="3" t="s">
        <v>1684</v>
      </c>
      <c r="AK43" s="3" t="s">
        <v>1684</v>
      </c>
      <c r="AL43" s="3" t="s">
        <v>2066</v>
      </c>
      <c r="AM43" s="3" t="s">
        <v>2067</v>
      </c>
      <c r="AN43" s="3" t="s">
        <v>2068</v>
      </c>
      <c r="AO43" s="3" t="s">
        <v>2069</v>
      </c>
      <c r="AP43" s="3" t="s">
        <v>2070</v>
      </c>
      <c r="AQ43" s="3" t="s">
        <v>2071</v>
      </c>
      <c r="AR43" s="3" t="s">
        <v>2072</v>
      </c>
      <c r="AS43" s="3" t="s">
        <v>969</v>
      </c>
      <c r="AT43" s="3" t="s">
        <v>969</v>
      </c>
      <c r="AU43" s="3" t="s">
        <v>1260</v>
      </c>
      <c r="AV43" s="3" t="s">
        <v>917</v>
      </c>
      <c r="AW43" s="3" t="s">
        <v>1596</v>
      </c>
      <c r="AX43" s="3" t="s">
        <v>969</v>
      </c>
      <c r="AY43" s="27">
        <v>15.99</v>
      </c>
      <c r="AZ43" s="5" t="s">
        <v>69</v>
      </c>
      <c r="BA43" s="5" t="s">
        <v>7</v>
      </c>
    </row>
    <row r="44" ht="15.75" customHeight="1">
      <c r="A44" s="24"/>
      <c r="B44" s="24">
        <v>139.0</v>
      </c>
      <c r="C44" s="5" t="s">
        <v>24</v>
      </c>
      <c r="D44" s="3" t="s">
        <v>953</v>
      </c>
      <c r="E44" s="25">
        <v>46208.83958333333</v>
      </c>
      <c r="F44" s="3" t="s">
        <v>247</v>
      </c>
      <c r="G44" s="3" t="s">
        <v>247</v>
      </c>
      <c r="H44" s="3" t="s">
        <v>618</v>
      </c>
      <c r="I44" s="3" t="s">
        <v>2073</v>
      </c>
      <c r="J44" s="3" t="s">
        <v>2074</v>
      </c>
      <c r="K44" s="3" t="s">
        <v>2075</v>
      </c>
      <c r="L44" s="3" t="s">
        <v>2076</v>
      </c>
      <c r="M44" s="26">
        <v>33256.0</v>
      </c>
      <c r="N44" s="3" t="s">
        <v>2077</v>
      </c>
      <c r="O44" s="3" t="s">
        <v>2076</v>
      </c>
      <c r="P44" s="3" t="s">
        <v>247</v>
      </c>
      <c r="Q44" s="3" t="s">
        <v>2078</v>
      </c>
      <c r="R44" s="3" t="s">
        <v>247</v>
      </c>
      <c r="S44" s="3" t="s">
        <v>2079</v>
      </c>
      <c r="T44" s="3" t="s">
        <v>2080</v>
      </c>
      <c r="U44" s="3" t="s">
        <v>1245</v>
      </c>
      <c r="V44" s="3" t="s">
        <v>2081</v>
      </c>
      <c r="W44" s="3" t="s">
        <v>2082</v>
      </c>
      <c r="X44" s="3" t="s">
        <v>2083</v>
      </c>
      <c r="Y44" s="3" t="s">
        <v>971</v>
      </c>
      <c r="Z44" s="3" t="s">
        <v>2084</v>
      </c>
      <c r="AA44" s="3" t="s">
        <v>969</v>
      </c>
      <c r="AB44" s="3" t="s">
        <v>2085</v>
      </c>
      <c r="AC44" s="3" t="s">
        <v>969</v>
      </c>
      <c r="AD44" s="3" t="s">
        <v>2086</v>
      </c>
      <c r="AE44" s="3" t="s">
        <v>2087</v>
      </c>
      <c r="AF44" s="3" t="s">
        <v>1250</v>
      </c>
      <c r="AG44" s="3" t="s">
        <v>2088</v>
      </c>
      <c r="AH44" s="3" t="s">
        <v>969</v>
      </c>
      <c r="AI44" s="3" t="s">
        <v>2089</v>
      </c>
      <c r="AJ44" s="3" t="s">
        <v>971</v>
      </c>
      <c r="AK44" s="4"/>
      <c r="AL44" s="3" t="s">
        <v>2090</v>
      </c>
      <c r="AM44" s="3" t="s">
        <v>2091</v>
      </c>
      <c r="AN44" s="3" t="s">
        <v>2092</v>
      </c>
      <c r="AO44" s="3" t="s">
        <v>2093</v>
      </c>
      <c r="AP44" s="3" t="s">
        <v>2094</v>
      </c>
      <c r="AQ44" s="3" t="s">
        <v>2095</v>
      </c>
      <c r="AR44" s="3" t="s">
        <v>2096</v>
      </c>
      <c r="AS44" s="3" t="s">
        <v>969</v>
      </c>
      <c r="AT44" s="3" t="s">
        <v>969</v>
      </c>
      <c r="AU44" s="3" t="s">
        <v>1233</v>
      </c>
      <c r="AV44" s="3" t="s">
        <v>1470</v>
      </c>
      <c r="AW44" s="3" t="s">
        <v>1596</v>
      </c>
      <c r="AX44" s="3" t="s">
        <v>969</v>
      </c>
      <c r="AY44" s="27">
        <v>15.99</v>
      </c>
      <c r="AZ44" s="5" t="s">
        <v>24</v>
      </c>
      <c r="BA44" s="5" t="s">
        <v>22</v>
      </c>
    </row>
    <row r="45" ht="15.75" customHeight="1">
      <c r="A45" s="24"/>
      <c r="B45" s="24">
        <v>134.0</v>
      </c>
      <c r="C45" s="5" t="s">
        <v>24</v>
      </c>
      <c r="D45" s="3" t="s">
        <v>953</v>
      </c>
      <c r="E45" s="25">
        <v>46208.80208333334</v>
      </c>
      <c r="F45" s="3" t="s">
        <v>2097</v>
      </c>
      <c r="G45" s="3" t="s">
        <v>2098</v>
      </c>
      <c r="H45" s="3" t="s">
        <v>227</v>
      </c>
      <c r="I45" s="3" t="s">
        <v>2099</v>
      </c>
      <c r="J45" s="3" t="s">
        <v>2100</v>
      </c>
      <c r="K45" s="3" t="s">
        <v>1042</v>
      </c>
      <c r="L45" s="3" t="s">
        <v>2101</v>
      </c>
      <c r="M45" s="26">
        <v>37851.0</v>
      </c>
      <c r="N45" s="3" t="s">
        <v>2102</v>
      </c>
      <c r="O45" s="3" t="s">
        <v>2103</v>
      </c>
      <c r="P45" s="4"/>
      <c r="Q45" s="4"/>
      <c r="R45" s="4"/>
      <c r="S45" s="3" t="s">
        <v>2104</v>
      </c>
      <c r="T45" s="3" t="s">
        <v>2105</v>
      </c>
      <c r="U45" s="3" t="s">
        <v>1050</v>
      </c>
      <c r="V45" s="3" t="s">
        <v>2106</v>
      </c>
      <c r="W45" s="3" t="s">
        <v>2107</v>
      </c>
      <c r="X45" s="3" t="s">
        <v>2108</v>
      </c>
      <c r="Y45" s="3" t="s">
        <v>969</v>
      </c>
      <c r="Z45" s="3" t="s">
        <v>1054</v>
      </c>
      <c r="AA45" s="3" t="s">
        <v>969</v>
      </c>
      <c r="AB45" s="3" t="s">
        <v>2109</v>
      </c>
      <c r="AC45" s="4"/>
      <c r="AD45" s="3" t="s">
        <v>2110</v>
      </c>
      <c r="AE45" s="4"/>
      <c r="AF45" s="3" t="s">
        <v>2111</v>
      </c>
      <c r="AG45" s="4"/>
      <c r="AH45" s="3" t="s">
        <v>969</v>
      </c>
      <c r="AI45" s="3" t="s">
        <v>2112</v>
      </c>
      <c r="AJ45" s="3" t="s">
        <v>2113</v>
      </c>
      <c r="AK45" s="3" t="s">
        <v>2114</v>
      </c>
      <c r="AL45" s="3" t="s">
        <v>2115</v>
      </c>
      <c r="AM45" s="3" t="s">
        <v>2116</v>
      </c>
      <c r="AN45" s="3" t="s">
        <v>2117</v>
      </c>
      <c r="AO45" s="3" t="s">
        <v>2118</v>
      </c>
      <c r="AP45" s="3" t="s">
        <v>2119</v>
      </c>
      <c r="AQ45" s="3" t="s">
        <v>2120</v>
      </c>
      <c r="AR45" s="3" t="s">
        <v>2121</v>
      </c>
      <c r="AS45" s="3" t="s">
        <v>969</v>
      </c>
      <c r="AT45" s="3" t="s">
        <v>969</v>
      </c>
      <c r="AU45" s="3" t="s">
        <v>1039</v>
      </c>
      <c r="AV45" s="3" t="s">
        <v>1261</v>
      </c>
      <c r="AW45" s="3" t="s">
        <v>2122</v>
      </c>
      <c r="AX45" s="3" t="s">
        <v>969</v>
      </c>
      <c r="AY45" s="27">
        <v>15.99</v>
      </c>
      <c r="AZ45" s="5" t="s">
        <v>24</v>
      </c>
      <c r="BA45" s="5" t="s">
        <v>230</v>
      </c>
    </row>
    <row r="46" ht="15.75" customHeight="1">
      <c r="A46" s="24"/>
      <c r="B46" s="24">
        <v>133.0</v>
      </c>
      <c r="C46" s="5" t="s">
        <v>24</v>
      </c>
      <c r="D46" s="3" t="s">
        <v>953</v>
      </c>
      <c r="E46" s="25">
        <v>46208.78125</v>
      </c>
      <c r="F46" s="3" t="s">
        <v>2123</v>
      </c>
      <c r="G46" s="3" t="s">
        <v>2123</v>
      </c>
      <c r="H46" s="3" t="s">
        <v>476</v>
      </c>
      <c r="I46" s="3" t="s">
        <v>2124</v>
      </c>
      <c r="J46" s="3" t="s">
        <v>2125</v>
      </c>
      <c r="K46" s="3" t="s">
        <v>1916</v>
      </c>
      <c r="L46" s="3" t="s">
        <v>2126</v>
      </c>
      <c r="M46" s="26">
        <v>39010.0</v>
      </c>
      <c r="N46" s="3" t="s">
        <v>2127</v>
      </c>
      <c r="O46" s="3" t="s">
        <v>2128</v>
      </c>
      <c r="P46" s="4"/>
      <c r="Q46" s="4"/>
      <c r="R46" s="4"/>
      <c r="S46" s="3" t="s">
        <v>2129</v>
      </c>
      <c r="T46" s="3" t="s">
        <v>2130</v>
      </c>
      <c r="U46" s="3" t="s">
        <v>2131</v>
      </c>
      <c r="V46" s="3" t="s">
        <v>1925</v>
      </c>
      <c r="W46" s="3" t="s">
        <v>2132</v>
      </c>
      <c r="X46" s="3" t="s">
        <v>2133</v>
      </c>
      <c r="Y46" s="3" t="s">
        <v>969</v>
      </c>
      <c r="Z46" s="3" t="s">
        <v>2134</v>
      </c>
      <c r="AA46" s="3" t="s">
        <v>971</v>
      </c>
      <c r="AB46" s="4"/>
      <c r="AC46" s="4"/>
      <c r="AD46" s="3" t="s">
        <v>2135</v>
      </c>
      <c r="AE46" s="3" t="s">
        <v>2136</v>
      </c>
      <c r="AF46" s="3" t="s">
        <v>2137</v>
      </c>
      <c r="AG46" s="3" t="s">
        <v>2138</v>
      </c>
      <c r="AH46" s="3" t="s">
        <v>971</v>
      </c>
      <c r="AI46" s="3" t="s">
        <v>2139</v>
      </c>
      <c r="AJ46" s="4"/>
      <c r="AK46" s="4"/>
      <c r="AL46" s="3" t="s">
        <v>2140</v>
      </c>
      <c r="AM46" s="3" t="s">
        <v>2141</v>
      </c>
      <c r="AN46" s="3" t="s">
        <v>2142</v>
      </c>
      <c r="AO46" s="3" t="s">
        <v>2143</v>
      </c>
      <c r="AP46" s="3" t="s">
        <v>2144</v>
      </c>
      <c r="AQ46" s="3" t="s">
        <v>2145</v>
      </c>
      <c r="AR46" s="3" t="s">
        <v>2146</v>
      </c>
      <c r="AS46" s="3" t="s">
        <v>971</v>
      </c>
      <c r="AT46" s="3" t="s">
        <v>971</v>
      </c>
      <c r="AU46" s="3" t="s">
        <v>1039</v>
      </c>
      <c r="AV46" s="3" t="s">
        <v>2147</v>
      </c>
      <c r="AW46" s="4"/>
      <c r="AX46" s="3" t="s">
        <v>969</v>
      </c>
      <c r="AY46" s="27">
        <v>15.99</v>
      </c>
      <c r="AZ46" s="5" t="s">
        <v>24</v>
      </c>
      <c r="BA46" s="5" t="s">
        <v>22</v>
      </c>
    </row>
    <row r="47" ht="15.75" customHeight="1">
      <c r="A47" s="24"/>
      <c r="B47" s="24">
        <v>121.0</v>
      </c>
      <c r="C47" s="5" t="s">
        <v>24</v>
      </c>
      <c r="D47" s="3" t="s">
        <v>953</v>
      </c>
      <c r="E47" s="25">
        <v>46208.59027777778</v>
      </c>
      <c r="F47" s="3" t="s">
        <v>208</v>
      </c>
      <c r="G47" s="3" t="s">
        <v>208</v>
      </c>
      <c r="H47" s="3" t="s">
        <v>609</v>
      </c>
      <c r="I47" s="3" t="s">
        <v>2148</v>
      </c>
      <c r="J47" s="3" t="s">
        <v>2149</v>
      </c>
      <c r="K47" s="3" t="s">
        <v>1238</v>
      </c>
      <c r="L47" s="3" t="s">
        <v>2150</v>
      </c>
      <c r="M47" s="26">
        <v>36701.0</v>
      </c>
      <c r="N47" s="3" t="s">
        <v>2151</v>
      </c>
      <c r="O47" s="3" t="s">
        <v>2152</v>
      </c>
      <c r="P47" s="3" t="s">
        <v>2153</v>
      </c>
      <c r="Q47" s="4"/>
      <c r="R47" s="4"/>
      <c r="S47" s="3" t="s">
        <v>2154</v>
      </c>
      <c r="T47" s="3" t="s">
        <v>2155</v>
      </c>
      <c r="U47" s="3" t="s">
        <v>2156</v>
      </c>
      <c r="V47" s="3" t="s">
        <v>2157</v>
      </c>
      <c r="W47" s="3" t="s">
        <v>2158</v>
      </c>
      <c r="X47" s="3" t="s">
        <v>2159</v>
      </c>
      <c r="Y47" s="3" t="s">
        <v>969</v>
      </c>
      <c r="Z47" s="3" t="s">
        <v>1690</v>
      </c>
      <c r="AA47" s="3" t="s">
        <v>969</v>
      </c>
      <c r="AB47" s="3" t="s">
        <v>2160</v>
      </c>
      <c r="AC47" s="3" t="s">
        <v>2161</v>
      </c>
      <c r="AD47" s="3" t="s">
        <v>2162</v>
      </c>
      <c r="AE47" s="3" t="s">
        <v>2163</v>
      </c>
      <c r="AF47" s="3" t="s">
        <v>2164</v>
      </c>
      <c r="AG47" s="3" t="s">
        <v>1133</v>
      </c>
      <c r="AH47" s="3" t="s">
        <v>971</v>
      </c>
      <c r="AI47" s="4"/>
      <c r="AJ47" s="3" t="s">
        <v>2165</v>
      </c>
      <c r="AK47" s="3" t="s">
        <v>2166</v>
      </c>
      <c r="AL47" s="3" t="s">
        <v>2167</v>
      </c>
      <c r="AM47" s="3" t="s">
        <v>2168</v>
      </c>
      <c r="AN47" s="3" t="s">
        <v>2169</v>
      </c>
      <c r="AO47" s="3" t="s">
        <v>2170</v>
      </c>
      <c r="AP47" s="3" t="s">
        <v>2171</v>
      </c>
      <c r="AQ47" s="3" t="s">
        <v>2172</v>
      </c>
      <c r="AR47" s="3" t="s">
        <v>2173</v>
      </c>
      <c r="AS47" s="3" t="s">
        <v>969</v>
      </c>
      <c r="AT47" s="3" t="s">
        <v>969</v>
      </c>
      <c r="AU47" s="3" t="s">
        <v>1039</v>
      </c>
      <c r="AV47" s="3" t="s">
        <v>2174</v>
      </c>
      <c r="AW47" s="3" t="s">
        <v>2175</v>
      </c>
      <c r="AX47" s="3" t="s">
        <v>969</v>
      </c>
      <c r="AY47" s="27">
        <v>15.99</v>
      </c>
      <c r="AZ47" s="5" t="s">
        <v>24</v>
      </c>
      <c r="BA47" s="5" t="s">
        <v>22</v>
      </c>
    </row>
    <row r="48" ht="15.75" customHeight="1">
      <c r="A48" s="24"/>
      <c r="B48" s="24">
        <v>114.0</v>
      </c>
      <c r="C48" s="5" t="s">
        <v>24</v>
      </c>
      <c r="D48" s="3" t="s">
        <v>953</v>
      </c>
      <c r="E48" s="25">
        <v>46207.90833333333</v>
      </c>
      <c r="F48" s="3" t="s">
        <v>2176</v>
      </c>
      <c r="G48" s="3" t="s">
        <v>2176</v>
      </c>
      <c r="H48" s="3" t="s">
        <v>720</v>
      </c>
      <c r="I48" s="3" t="s">
        <v>2177</v>
      </c>
      <c r="J48" s="3" t="s">
        <v>2178</v>
      </c>
      <c r="K48" s="3" t="s">
        <v>2179</v>
      </c>
      <c r="L48" s="3" t="s">
        <v>2180</v>
      </c>
      <c r="M48" s="26">
        <v>40352.0</v>
      </c>
      <c r="N48" s="3" t="s">
        <v>2181</v>
      </c>
      <c r="O48" s="3" t="s">
        <v>2180</v>
      </c>
      <c r="P48" s="4"/>
      <c r="Q48" s="3" t="s">
        <v>2182</v>
      </c>
      <c r="R48" s="4"/>
      <c r="S48" s="3" t="s">
        <v>2183</v>
      </c>
      <c r="T48" s="3" t="s">
        <v>2184</v>
      </c>
      <c r="U48" s="3" t="s">
        <v>2185</v>
      </c>
      <c r="V48" s="3" t="s">
        <v>2186</v>
      </c>
      <c r="W48" s="4"/>
      <c r="X48" s="3" t="s">
        <v>2187</v>
      </c>
      <c r="Y48" s="3" t="s">
        <v>969</v>
      </c>
      <c r="Z48" s="3" t="s">
        <v>2188</v>
      </c>
      <c r="AA48" s="3" t="s">
        <v>971</v>
      </c>
      <c r="AB48" s="4"/>
      <c r="AC48" s="4"/>
      <c r="AD48" s="3" t="s">
        <v>2189</v>
      </c>
      <c r="AE48" s="3" t="s">
        <v>2190</v>
      </c>
      <c r="AF48" s="3" t="s">
        <v>2191</v>
      </c>
      <c r="AG48" s="3" t="s">
        <v>2192</v>
      </c>
      <c r="AH48" s="3" t="s">
        <v>971</v>
      </c>
      <c r="AI48" s="4"/>
      <c r="AJ48" s="3" t="s">
        <v>969</v>
      </c>
      <c r="AK48" s="3" t="s">
        <v>2193</v>
      </c>
      <c r="AL48" s="3" t="s">
        <v>2194</v>
      </c>
      <c r="AM48" s="3" t="s">
        <v>2195</v>
      </c>
      <c r="AN48" s="3" t="s">
        <v>2196</v>
      </c>
      <c r="AO48" s="3" t="s">
        <v>2197</v>
      </c>
      <c r="AP48" s="3" t="s">
        <v>2198</v>
      </c>
      <c r="AQ48" s="3" t="s">
        <v>2199</v>
      </c>
      <c r="AR48" s="3" t="s">
        <v>2200</v>
      </c>
      <c r="AS48" s="3" t="s">
        <v>971</v>
      </c>
      <c r="AT48" s="3" t="s">
        <v>971</v>
      </c>
      <c r="AU48" s="3" t="s">
        <v>1039</v>
      </c>
      <c r="AV48" s="3" t="s">
        <v>2201</v>
      </c>
      <c r="AW48" s="4"/>
      <c r="AX48" s="3" t="s">
        <v>969</v>
      </c>
      <c r="AY48" s="27">
        <v>15.99</v>
      </c>
      <c r="AZ48" s="5" t="s">
        <v>24</v>
      </c>
      <c r="BA48" s="5" t="s">
        <v>22</v>
      </c>
    </row>
    <row r="49" ht="15.75" customHeight="1">
      <c r="A49" s="24"/>
      <c r="B49" s="24">
        <v>112.0</v>
      </c>
      <c r="C49" s="5" t="s">
        <v>24</v>
      </c>
      <c r="D49" s="3" t="s">
        <v>953</v>
      </c>
      <c r="E49" s="25">
        <v>46207.79375</v>
      </c>
      <c r="F49" s="3" t="s">
        <v>190</v>
      </c>
      <c r="G49" s="3" t="s">
        <v>190</v>
      </c>
      <c r="H49" s="3" t="s">
        <v>521</v>
      </c>
      <c r="I49" s="3" t="s">
        <v>2202</v>
      </c>
      <c r="J49" s="3" t="s">
        <v>2203</v>
      </c>
      <c r="K49" s="3" t="s">
        <v>189</v>
      </c>
      <c r="L49" s="3" t="s">
        <v>2204</v>
      </c>
      <c r="M49" s="26">
        <v>39285.0</v>
      </c>
      <c r="N49" s="3" t="s">
        <v>2205</v>
      </c>
      <c r="O49" s="3" t="s">
        <v>2204</v>
      </c>
      <c r="P49" s="4"/>
      <c r="Q49" s="4"/>
      <c r="R49" s="4"/>
      <c r="S49" s="3" t="s">
        <v>2206</v>
      </c>
      <c r="T49" s="3" t="s">
        <v>2207</v>
      </c>
      <c r="U49" s="3" t="s">
        <v>2208</v>
      </c>
      <c r="V49" s="3" t="s">
        <v>1684</v>
      </c>
      <c r="W49" s="4"/>
      <c r="X49" s="3" t="s">
        <v>1684</v>
      </c>
      <c r="Y49" s="3" t="s">
        <v>971</v>
      </c>
      <c r="Z49" s="3" t="s">
        <v>1128</v>
      </c>
      <c r="AA49" s="3" t="s">
        <v>971</v>
      </c>
      <c r="AB49" s="4"/>
      <c r="AC49" s="3" t="s">
        <v>2209</v>
      </c>
      <c r="AD49" s="3" t="s">
        <v>966</v>
      </c>
      <c r="AE49" s="4"/>
      <c r="AF49" s="4"/>
      <c r="AG49" s="4"/>
      <c r="AH49" s="3" t="s">
        <v>971</v>
      </c>
      <c r="AI49" s="4"/>
      <c r="AJ49" s="4"/>
      <c r="AK49" s="4"/>
      <c r="AL49" s="3" t="s">
        <v>2210</v>
      </c>
      <c r="AM49" s="3" t="s">
        <v>2211</v>
      </c>
      <c r="AN49" s="3" t="s">
        <v>2212</v>
      </c>
      <c r="AO49" s="3" t="s">
        <v>2213</v>
      </c>
      <c r="AP49" s="3" t="s">
        <v>2214</v>
      </c>
      <c r="AQ49" s="3" t="s">
        <v>2215</v>
      </c>
      <c r="AR49" s="3" t="s">
        <v>2216</v>
      </c>
      <c r="AS49" s="3" t="s">
        <v>969</v>
      </c>
      <c r="AT49" s="3" t="s">
        <v>969</v>
      </c>
      <c r="AU49" s="3" t="s">
        <v>1039</v>
      </c>
      <c r="AV49" s="3" t="s">
        <v>2217</v>
      </c>
      <c r="AW49" s="3" t="s">
        <v>2218</v>
      </c>
      <c r="AX49" s="3" t="s">
        <v>969</v>
      </c>
      <c r="AY49" s="27">
        <v>15.99</v>
      </c>
      <c r="AZ49" s="5" t="s">
        <v>24</v>
      </c>
      <c r="BA49" s="5" t="s">
        <v>22</v>
      </c>
    </row>
    <row r="50" ht="15.75" customHeight="1">
      <c r="A50" s="24"/>
      <c r="B50" s="24">
        <v>110.0</v>
      </c>
      <c r="C50" s="5" t="s">
        <v>24</v>
      </c>
      <c r="D50" s="3" t="s">
        <v>953</v>
      </c>
      <c r="E50" s="25">
        <v>46207.60763888889</v>
      </c>
      <c r="F50" s="3" t="s">
        <v>2219</v>
      </c>
      <c r="G50" s="3" t="s">
        <v>2220</v>
      </c>
      <c r="H50" s="3" t="s">
        <v>662</v>
      </c>
      <c r="I50" s="3" t="s">
        <v>2221</v>
      </c>
      <c r="J50" s="3" t="s">
        <v>2222</v>
      </c>
      <c r="K50" s="3" t="s">
        <v>2223</v>
      </c>
      <c r="L50" s="3" t="s">
        <v>2224</v>
      </c>
      <c r="M50" s="26">
        <v>31831.0</v>
      </c>
      <c r="N50" s="3" t="s">
        <v>2225</v>
      </c>
      <c r="O50" s="3" t="s">
        <v>2226</v>
      </c>
      <c r="P50" s="3" t="s">
        <v>2227</v>
      </c>
      <c r="Q50" s="3" t="s">
        <v>2227</v>
      </c>
      <c r="R50" s="3" t="s">
        <v>2227</v>
      </c>
      <c r="S50" s="3" t="s">
        <v>2228</v>
      </c>
      <c r="T50" s="3" t="s">
        <v>2229</v>
      </c>
      <c r="U50" s="3" t="s">
        <v>1124</v>
      </c>
      <c r="V50" s="3" t="s">
        <v>2230</v>
      </c>
      <c r="W50" s="4"/>
      <c r="X50" s="3" t="s">
        <v>2231</v>
      </c>
      <c r="Y50" s="3" t="s">
        <v>971</v>
      </c>
      <c r="Z50" s="3" t="s">
        <v>2232</v>
      </c>
      <c r="AA50" s="3" t="s">
        <v>971</v>
      </c>
      <c r="AB50" s="4"/>
      <c r="AC50" s="3" t="s">
        <v>6</v>
      </c>
      <c r="AD50" s="3" t="s">
        <v>971</v>
      </c>
      <c r="AE50" s="4"/>
      <c r="AF50" s="4"/>
      <c r="AG50" s="4"/>
      <c r="AH50" s="3" t="s">
        <v>969</v>
      </c>
      <c r="AI50" s="4"/>
      <c r="AJ50" s="4"/>
      <c r="AK50" s="4"/>
      <c r="AL50" s="4"/>
      <c r="AM50" s="3" t="s">
        <v>2233</v>
      </c>
      <c r="AN50" s="3" t="s">
        <v>2234</v>
      </c>
      <c r="AO50" s="3" t="s">
        <v>2235</v>
      </c>
      <c r="AP50" s="3" t="s">
        <v>2236</v>
      </c>
      <c r="AQ50" s="3" t="s">
        <v>2237</v>
      </c>
      <c r="AR50" s="3" t="s">
        <v>2238</v>
      </c>
      <c r="AS50" s="3" t="s">
        <v>969</v>
      </c>
      <c r="AT50" s="3" t="s">
        <v>969</v>
      </c>
      <c r="AU50" s="3" t="s">
        <v>1409</v>
      </c>
      <c r="AV50" s="3" t="s">
        <v>1261</v>
      </c>
      <c r="AW50" s="3" t="s">
        <v>2239</v>
      </c>
      <c r="AX50" s="3" t="s">
        <v>969</v>
      </c>
      <c r="AY50" s="27">
        <v>15.99</v>
      </c>
      <c r="AZ50" s="5" t="s">
        <v>24</v>
      </c>
      <c r="BA50" s="5" t="s">
        <v>14</v>
      </c>
    </row>
    <row r="51" ht="15.75" customHeight="1">
      <c r="A51" s="24"/>
      <c r="B51" s="24">
        <v>108.0</v>
      </c>
      <c r="C51" s="5" t="s">
        <v>24</v>
      </c>
      <c r="D51" s="3" t="s">
        <v>953</v>
      </c>
      <c r="E51" s="25">
        <v>46207.59027777778</v>
      </c>
      <c r="F51" s="3" t="s">
        <v>185</v>
      </c>
      <c r="G51" s="3" t="s">
        <v>185</v>
      </c>
      <c r="H51" s="3" t="s">
        <v>657</v>
      </c>
      <c r="I51" s="3" t="s">
        <v>2240</v>
      </c>
      <c r="J51" s="3" t="s">
        <v>2241</v>
      </c>
      <c r="K51" s="3" t="s">
        <v>1391</v>
      </c>
      <c r="L51" s="3" t="s">
        <v>2242</v>
      </c>
      <c r="M51" s="26">
        <v>38824.0</v>
      </c>
      <c r="N51" s="3" t="s">
        <v>2243</v>
      </c>
      <c r="O51" s="3" t="s">
        <v>2244</v>
      </c>
      <c r="P51" s="4"/>
      <c r="Q51" s="3" t="s">
        <v>2245</v>
      </c>
      <c r="R51" s="4"/>
      <c r="S51" s="3" t="s">
        <v>2246</v>
      </c>
      <c r="T51" s="3" t="s">
        <v>2247</v>
      </c>
      <c r="U51" s="3" t="s">
        <v>2248</v>
      </c>
      <c r="V51" s="3" t="s">
        <v>2107</v>
      </c>
      <c r="W51" s="3" t="s">
        <v>2249</v>
      </c>
      <c r="X51" s="3" t="s">
        <v>2250</v>
      </c>
      <c r="Y51" s="3" t="s">
        <v>969</v>
      </c>
      <c r="Z51" s="3" t="s">
        <v>2251</v>
      </c>
      <c r="AA51" s="3" t="s">
        <v>971</v>
      </c>
      <c r="AB51" s="4"/>
      <c r="AC51" s="3" t="s">
        <v>2252</v>
      </c>
      <c r="AD51" s="3" t="s">
        <v>2253</v>
      </c>
      <c r="AE51" s="4"/>
      <c r="AF51" s="3" t="s">
        <v>2254</v>
      </c>
      <c r="AG51" s="3" t="s">
        <v>2255</v>
      </c>
      <c r="AH51" s="3" t="s">
        <v>971</v>
      </c>
      <c r="AI51" s="4"/>
      <c r="AJ51" s="3" t="s">
        <v>2256</v>
      </c>
      <c r="AK51" s="3" t="s">
        <v>2257</v>
      </c>
      <c r="AL51" s="3" t="s">
        <v>2258</v>
      </c>
      <c r="AM51" s="3" t="s">
        <v>2259</v>
      </c>
      <c r="AN51" s="3" t="s">
        <v>2260</v>
      </c>
      <c r="AO51" s="3" t="s">
        <v>2261</v>
      </c>
      <c r="AP51" s="3" t="s">
        <v>2262</v>
      </c>
      <c r="AQ51" s="3" t="s">
        <v>2263</v>
      </c>
      <c r="AR51" s="3" t="s">
        <v>2264</v>
      </c>
      <c r="AS51" s="3" t="s">
        <v>969</v>
      </c>
      <c r="AT51" s="3" t="s">
        <v>969</v>
      </c>
      <c r="AU51" s="3" t="s">
        <v>1260</v>
      </c>
      <c r="AV51" s="3" t="s">
        <v>2265</v>
      </c>
      <c r="AW51" s="4"/>
      <c r="AX51" s="3" t="s">
        <v>969</v>
      </c>
      <c r="AY51" s="27">
        <v>15.99</v>
      </c>
      <c r="AZ51" s="5" t="s">
        <v>24</v>
      </c>
      <c r="BA51" s="5" t="s">
        <v>22</v>
      </c>
    </row>
    <row r="52" ht="15.75" customHeight="1">
      <c r="A52" s="24"/>
      <c r="B52" s="24">
        <v>106.0</v>
      </c>
      <c r="C52" s="5" t="s">
        <v>69</v>
      </c>
      <c r="D52" s="3" t="s">
        <v>953</v>
      </c>
      <c r="E52" s="25">
        <v>46206.87638888889</v>
      </c>
      <c r="F52" s="3" t="s">
        <v>180</v>
      </c>
      <c r="G52" s="3" t="s">
        <v>2266</v>
      </c>
      <c r="H52" s="3" t="s">
        <v>2267</v>
      </c>
      <c r="I52" s="3" t="s">
        <v>2268</v>
      </c>
      <c r="J52" s="3" t="s">
        <v>2269</v>
      </c>
      <c r="K52" s="3" t="s">
        <v>2270</v>
      </c>
      <c r="L52" s="3" t="s">
        <v>2271</v>
      </c>
      <c r="M52" s="26">
        <v>38857.0</v>
      </c>
      <c r="N52" s="3" t="s">
        <v>2272</v>
      </c>
      <c r="O52" s="3" t="s">
        <v>2273</v>
      </c>
      <c r="P52" s="3" t="s">
        <v>2274</v>
      </c>
      <c r="Q52" s="3" t="s">
        <v>2275</v>
      </c>
      <c r="R52" s="3" t="s">
        <v>2276</v>
      </c>
      <c r="S52" s="3" t="s">
        <v>2277</v>
      </c>
      <c r="T52" s="3" t="s">
        <v>2278</v>
      </c>
      <c r="U52" s="3" t="s">
        <v>1370</v>
      </c>
      <c r="V52" s="3" t="s">
        <v>2279</v>
      </c>
      <c r="W52" s="3" t="s">
        <v>1898</v>
      </c>
      <c r="X52" s="3" t="s">
        <v>2280</v>
      </c>
      <c r="Y52" s="3" t="s">
        <v>969</v>
      </c>
      <c r="Z52" s="3" t="s">
        <v>1900</v>
      </c>
      <c r="AA52" s="3" t="s">
        <v>971</v>
      </c>
      <c r="AB52" s="4"/>
      <c r="AC52" s="3" t="s">
        <v>969</v>
      </c>
      <c r="AD52" s="3" t="s">
        <v>2281</v>
      </c>
      <c r="AE52" s="3" t="s">
        <v>2282</v>
      </c>
      <c r="AF52" s="3" t="s">
        <v>2283</v>
      </c>
      <c r="AG52" s="3" t="s">
        <v>2284</v>
      </c>
      <c r="AH52" s="3" t="s">
        <v>971</v>
      </c>
      <c r="AI52" s="4"/>
      <c r="AJ52" s="4"/>
      <c r="AK52" s="4"/>
      <c r="AL52" s="3" t="s">
        <v>2285</v>
      </c>
      <c r="AM52" s="3" t="s">
        <v>2286</v>
      </c>
      <c r="AN52" s="3" t="s">
        <v>2287</v>
      </c>
      <c r="AO52" s="3" t="s">
        <v>2288</v>
      </c>
      <c r="AP52" s="3" t="s">
        <v>2289</v>
      </c>
      <c r="AQ52" s="3" t="s">
        <v>2290</v>
      </c>
      <c r="AR52" s="3" t="s">
        <v>2291</v>
      </c>
      <c r="AS52" s="3" t="s">
        <v>969</v>
      </c>
      <c r="AT52" s="3" t="s">
        <v>969</v>
      </c>
      <c r="AU52" s="3" t="s">
        <v>1039</v>
      </c>
      <c r="AV52" s="3" t="s">
        <v>2292</v>
      </c>
      <c r="AW52" s="3" t="s">
        <v>1288</v>
      </c>
      <c r="AX52" s="3" t="s">
        <v>969</v>
      </c>
      <c r="AY52" s="27">
        <v>15.99</v>
      </c>
      <c r="AZ52" s="5" t="s">
        <v>69</v>
      </c>
      <c r="BA52" s="5" t="s">
        <v>7</v>
      </c>
    </row>
    <row r="53" ht="15.75" customHeight="1">
      <c r="A53" s="24"/>
      <c r="B53" s="24">
        <v>103.0</v>
      </c>
      <c r="C53" s="5" t="s">
        <v>24</v>
      </c>
      <c r="D53" s="3" t="s">
        <v>953</v>
      </c>
      <c r="E53" s="25">
        <v>46206.61805555555</v>
      </c>
      <c r="F53" s="3" t="s">
        <v>173</v>
      </c>
      <c r="G53" s="3" t="s">
        <v>173</v>
      </c>
      <c r="H53" s="3" t="s">
        <v>175</v>
      </c>
      <c r="I53" s="3" t="s">
        <v>2293</v>
      </c>
      <c r="J53" s="3" t="s">
        <v>2294</v>
      </c>
      <c r="K53" s="3" t="s">
        <v>189</v>
      </c>
      <c r="L53" s="3" t="s">
        <v>2295</v>
      </c>
      <c r="M53" s="26">
        <v>34164.0</v>
      </c>
      <c r="N53" s="3" t="s">
        <v>2296</v>
      </c>
      <c r="O53" s="3" t="s">
        <v>2297</v>
      </c>
      <c r="P53" s="3" t="s">
        <v>2298</v>
      </c>
      <c r="Q53" s="3" t="s">
        <v>2299</v>
      </c>
      <c r="R53" s="3" t="s">
        <v>2299</v>
      </c>
      <c r="S53" s="3" t="s">
        <v>2300</v>
      </c>
      <c r="T53" s="3" t="s">
        <v>2301</v>
      </c>
      <c r="U53" s="3" t="s">
        <v>2302</v>
      </c>
      <c r="V53" s="3" t="s">
        <v>2303</v>
      </c>
      <c r="W53" s="3" t="s">
        <v>2304</v>
      </c>
      <c r="X53" s="3" t="s">
        <v>2305</v>
      </c>
      <c r="Y53" s="3" t="s">
        <v>971</v>
      </c>
      <c r="Z53" s="3" t="s">
        <v>1128</v>
      </c>
      <c r="AA53" s="3" t="s">
        <v>971</v>
      </c>
      <c r="AB53" s="4"/>
      <c r="AC53" s="3" t="s">
        <v>2306</v>
      </c>
      <c r="AD53" s="3" t="s">
        <v>971</v>
      </c>
      <c r="AE53" s="4"/>
      <c r="AF53" s="4"/>
      <c r="AG53" s="4"/>
      <c r="AH53" s="3" t="s">
        <v>969</v>
      </c>
      <c r="AI53" s="3" t="s">
        <v>2307</v>
      </c>
      <c r="AJ53" s="3" t="s">
        <v>2308</v>
      </c>
      <c r="AK53" s="4"/>
      <c r="AL53" s="3" t="s">
        <v>2309</v>
      </c>
      <c r="AM53" s="3" t="s">
        <v>2310</v>
      </c>
      <c r="AN53" s="3" t="s">
        <v>2311</v>
      </c>
      <c r="AO53" s="3" t="s">
        <v>2312</v>
      </c>
      <c r="AP53" s="3" t="s">
        <v>2313</v>
      </c>
      <c r="AQ53" s="3" t="s">
        <v>2314</v>
      </c>
      <c r="AR53" s="3" t="s">
        <v>2315</v>
      </c>
      <c r="AS53" s="3" t="s">
        <v>969</v>
      </c>
      <c r="AT53" s="3" t="s">
        <v>969</v>
      </c>
      <c r="AU53" s="3" t="s">
        <v>1039</v>
      </c>
      <c r="AV53" s="3" t="s">
        <v>2174</v>
      </c>
      <c r="AW53" s="3" t="s">
        <v>2316</v>
      </c>
      <c r="AX53" s="3" t="s">
        <v>969</v>
      </c>
      <c r="AY53" s="27">
        <v>15.99</v>
      </c>
      <c r="AZ53" s="5" t="s">
        <v>24</v>
      </c>
      <c r="BA53" s="5" t="s">
        <v>43</v>
      </c>
    </row>
    <row r="54" ht="15.75" customHeight="1">
      <c r="A54" s="24"/>
      <c r="B54" s="24">
        <v>100.0</v>
      </c>
      <c r="C54" s="5" t="s">
        <v>24</v>
      </c>
      <c r="D54" s="3" t="s">
        <v>953</v>
      </c>
      <c r="E54" s="25">
        <v>46206.02777777778</v>
      </c>
      <c r="F54" s="3" t="s">
        <v>168</v>
      </c>
      <c r="G54" s="3" t="s">
        <v>2317</v>
      </c>
      <c r="H54" s="3" t="s">
        <v>706</v>
      </c>
      <c r="I54" s="3" t="s">
        <v>2318</v>
      </c>
      <c r="J54" s="3" t="s">
        <v>2319</v>
      </c>
      <c r="K54" s="3" t="s">
        <v>2320</v>
      </c>
      <c r="L54" s="3" t="s">
        <v>2321</v>
      </c>
      <c r="M54" s="26">
        <v>37381.0</v>
      </c>
      <c r="N54" s="3" t="s">
        <v>2322</v>
      </c>
      <c r="O54" s="3" t="s">
        <v>2323</v>
      </c>
      <c r="P54" s="3" t="s">
        <v>2324</v>
      </c>
      <c r="Q54" s="3" t="s">
        <v>2325</v>
      </c>
      <c r="R54" s="3" t="s">
        <v>2326</v>
      </c>
      <c r="S54" s="3" t="s">
        <v>2327</v>
      </c>
      <c r="T54" s="3" t="s">
        <v>2328</v>
      </c>
      <c r="U54" s="3" t="s">
        <v>2329</v>
      </c>
      <c r="V54" s="3" t="s">
        <v>1370</v>
      </c>
      <c r="W54" s="3" t="s">
        <v>2330</v>
      </c>
      <c r="X54" s="3" t="s">
        <v>2331</v>
      </c>
      <c r="Y54" s="3" t="s">
        <v>971</v>
      </c>
      <c r="Z54" s="3" t="s">
        <v>2332</v>
      </c>
      <c r="AA54" s="3" t="s">
        <v>971</v>
      </c>
      <c r="AB54" s="4"/>
      <c r="AC54" s="3" t="s">
        <v>2333</v>
      </c>
      <c r="AD54" s="3" t="s">
        <v>2334</v>
      </c>
      <c r="AE54" s="3" t="s">
        <v>2335</v>
      </c>
      <c r="AF54" s="3" t="s">
        <v>2336</v>
      </c>
      <c r="AG54" s="3" t="s">
        <v>2337</v>
      </c>
      <c r="AH54" s="3" t="s">
        <v>971</v>
      </c>
      <c r="AI54" s="4"/>
      <c r="AJ54" s="4"/>
      <c r="AK54" s="4"/>
      <c r="AL54" s="3" t="s">
        <v>2338</v>
      </c>
      <c r="AM54" s="3" t="s">
        <v>2339</v>
      </c>
      <c r="AN54" s="3" t="s">
        <v>2340</v>
      </c>
      <c r="AO54" s="3" t="s">
        <v>2341</v>
      </c>
      <c r="AP54" s="3" t="s">
        <v>2342</v>
      </c>
      <c r="AQ54" s="3" t="s">
        <v>2343</v>
      </c>
      <c r="AR54" s="3" t="s">
        <v>2344</v>
      </c>
      <c r="AS54" s="3" t="s">
        <v>969</v>
      </c>
      <c r="AT54" s="3" t="s">
        <v>969</v>
      </c>
      <c r="AU54" s="3" t="s">
        <v>981</v>
      </c>
      <c r="AV54" s="3" t="s">
        <v>1261</v>
      </c>
      <c r="AW54" s="3" t="s">
        <v>2345</v>
      </c>
      <c r="AX54" s="3" t="s">
        <v>969</v>
      </c>
      <c r="AY54" s="27">
        <v>15.99</v>
      </c>
      <c r="AZ54" s="5" t="s">
        <v>24</v>
      </c>
      <c r="BA54" s="5" t="s">
        <v>22</v>
      </c>
    </row>
    <row r="55" ht="15.75" customHeight="1">
      <c r="A55" s="24"/>
      <c r="B55" s="24">
        <v>94.0</v>
      </c>
      <c r="C55" s="5" t="s">
        <v>24</v>
      </c>
      <c r="D55" s="3" t="s">
        <v>953</v>
      </c>
      <c r="E55" s="25">
        <v>46204.70277777778</v>
      </c>
      <c r="F55" s="3" t="s">
        <v>874</v>
      </c>
      <c r="G55" s="3" t="s">
        <v>874</v>
      </c>
      <c r="H55" s="3" t="s">
        <v>164</v>
      </c>
      <c r="I55" s="3" t="s">
        <v>2346</v>
      </c>
      <c r="J55" s="3" t="s">
        <v>2347</v>
      </c>
      <c r="K55" s="3" t="s">
        <v>2348</v>
      </c>
      <c r="L55" s="3" t="s">
        <v>2349</v>
      </c>
      <c r="M55" s="26">
        <v>38312.0</v>
      </c>
      <c r="N55" s="3" t="s">
        <v>2350</v>
      </c>
      <c r="O55" s="3" t="s">
        <v>2351</v>
      </c>
      <c r="P55" s="3" t="s">
        <v>2352</v>
      </c>
      <c r="Q55" s="3" t="s">
        <v>2353</v>
      </c>
      <c r="R55" s="3" t="s">
        <v>874</v>
      </c>
      <c r="S55" s="3" t="s">
        <v>2354</v>
      </c>
      <c r="T55" s="3" t="s">
        <v>2355</v>
      </c>
      <c r="U55" s="3" t="s">
        <v>2356</v>
      </c>
      <c r="V55" s="3" t="s">
        <v>1050</v>
      </c>
      <c r="W55" s="3" t="s">
        <v>2357</v>
      </c>
      <c r="X55" s="3" t="s">
        <v>2358</v>
      </c>
      <c r="Y55" s="3" t="s">
        <v>969</v>
      </c>
      <c r="Z55" s="3" t="s">
        <v>2332</v>
      </c>
      <c r="AA55" s="3" t="s">
        <v>969</v>
      </c>
      <c r="AB55" s="3" t="s">
        <v>1690</v>
      </c>
      <c r="AC55" s="3" t="s">
        <v>969</v>
      </c>
      <c r="AD55" s="3" t="s">
        <v>2359</v>
      </c>
      <c r="AE55" s="3" t="s">
        <v>2360</v>
      </c>
      <c r="AF55" s="3" t="s">
        <v>1250</v>
      </c>
      <c r="AG55" s="3" t="s">
        <v>2361</v>
      </c>
      <c r="AH55" s="3" t="s">
        <v>971</v>
      </c>
      <c r="AI55" s="4"/>
      <c r="AJ55" s="4"/>
      <c r="AK55" s="4"/>
      <c r="AL55" s="3" t="s">
        <v>2362</v>
      </c>
      <c r="AM55" s="3" t="s">
        <v>2363</v>
      </c>
      <c r="AN55" s="3" t="s">
        <v>2364</v>
      </c>
      <c r="AO55" s="3" t="s">
        <v>2365</v>
      </c>
      <c r="AP55" s="3" t="s">
        <v>2366</v>
      </c>
      <c r="AQ55" s="3" t="s">
        <v>2367</v>
      </c>
      <c r="AR55" s="3" t="s">
        <v>2368</v>
      </c>
      <c r="AS55" s="3" t="s">
        <v>969</v>
      </c>
      <c r="AT55" s="3" t="s">
        <v>969</v>
      </c>
      <c r="AU55" s="3" t="s">
        <v>1039</v>
      </c>
      <c r="AV55" s="3" t="s">
        <v>2369</v>
      </c>
      <c r="AW55" s="3" t="s">
        <v>2370</v>
      </c>
      <c r="AX55" s="3" t="s">
        <v>969</v>
      </c>
      <c r="AY55" s="27">
        <v>15.99</v>
      </c>
      <c r="AZ55" s="5" t="s">
        <v>24</v>
      </c>
      <c r="BA55" s="5" t="s">
        <v>43</v>
      </c>
    </row>
    <row r="56" ht="15.75" customHeight="1">
      <c r="A56" s="24"/>
      <c r="B56" s="24">
        <v>89.0</v>
      </c>
      <c r="C56" s="5" t="s">
        <v>24</v>
      </c>
      <c r="D56" s="3" t="s">
        <v>953</v>
      </c>
      <c r="E56" s="25">
        <v>46203.72638888889</v>
      </c>
      <c r="F56" s="3" t="s">
        <v>2371</v>
      </c>
      <c r="G56" s="3" t="s">
        <v>2371</v>
      </c>
      <c r="H56" s="3" t="s">
        <v>154</v>
      </c>
      <c r="I56" s="3" t="s">
        <v>154</v>
      </c>
      <c r="J56" s="3" t="s">
        <v>2372</v>
      </c>
      <c r="K56" s="3" t="s">
        <v>2373</v>
      </c>
      <c r="L56" s="3" t="s">
        <v>2374</v>
      </c>
      <c r="M56" s="26">
        <v>35431.0</v>
      </c>
      <c r="N56" s="3" t="s">
        <v>2375</v>
      </c>
      <c r="O56" s="3" t="s">
        <v>2374</v>
      </c>
      <c r="P56" s="3" t="s">
        <v>2376</v>
      </c>
      <c r="Q56" s="3" t="s">
        <v>2377</v>
      </c>
      <c r="R56" s="3" t="s">
        <v>2378</v>
      </c>
      <c r="S56" s="3" t="s">
        <v>2379</v>
      </c>
      <c r="T56" s="3" t="s">
        <v>2380</v>
      </c>
      <c r="U56" s="3" t="s">
        <v>2381</v>
      </c>
      <c r="V56" s="3" t="s">
        <v>2382</v>
      </c>
      <c r="W56" s="3" t="s">
        <v>2383</v>
      </c>
      <c r="X56" s="3" t="s">
        <v>2384</v>
      </c>
      <c r="Y56" s="3" t="s">
        <v>971</v>
      </c>
      <c r="Z56" s="3" t="s">
        <v>1247</v>
      </c>
      <c r="AA56" s="3" t="s">
        <v>969</v>
      </c>
      <c r="AB56" s="3" t="s">
        <v>2385</v>
      </c>
      <c r="AC56" s="3" t="s">
        <v>6</v>
      </c>
      <c r="AD56" s="3" t="s">
        <v>2386</v>
      </c>
      <c r="AE56" s="3" t="s">
        <v>2387</v>
      </c>
      <c r="AF56" s="3" t="s">
        <v>2388</v>
      </c>
      <c r="AG56" s="3" t="s">
        <v>1002</v>
      </c>
      <c r="AH56" s="3" t="s">
        <v>971</v>
      </c>
      <c r="AI56" s="3" t="s">
        <v>966</v>
      </c>
      <c r="AJ56" s="3" t="s">
        <v>966</v>
      </c>
      <c r="AK56" s="3" t="s">
        <v>966</v>
      </c>
      <c r="AL56" s="3" t="s">
        <v>2389</v>
      </c>
      <c r="AM56" s="3" t="s">
        <v>1061</v>
      </c>
      <c r="AN56" s="3" t="s">
        <v>2390</v>
      </c>
      <c r="AO56" s="3" t="s">
        <v>2391</v>
      </c>
      <c r="AP56" s="3" t="s">
        <v>2392</v>
      </c>
      <c r="AQ56" s="3" t="s">
        <v>2393</v>
      </c>
      <c r="AR56" s="3" t="s">
        <v>2394</v>
      </c>
      <c r="AS56" s="3" t="s">
        <v>969</v>
      </c>
      <c r="AT56" s="3" t="s">
        <v>969</v>
      </c>
      <c r="AU56" s="3" t="s">
        <v>1409</v>
      </c>
      <c r="AV56" s="3" t="s">
        <v>982</v>
      </c>
      <c r="AW56" s="3" t="s">
        <v>2395</v>
      </c>
      <c r="AX56" s="3" t="s">
        <v>969</v>
      </c>
      <c r="AY56" s="27">
        <v>15.99</v>
      </c>
      <c r="AZ56" s="5" t="s">
        <v>24</v>
      </c>
      <c r="BA56" s="5" t="s">
        <v>43</v>
      </c>
    </row>
    <row r="57" ht="15.75" customHeight="1">
      <c r="A57" s="24"/>
      <c r="B57" s="24">
        <v>87.0</v>
      </c>
      <c r="C57" s="5" t="s">
        <v>69</v>
      </c>
      <c r="D57" s="3" t="s">
        <v>953</v>
      </c>
      <c r="E57" s="25">
        <v>46203.0625</v>
      </c>
      <c r="F57" s="3" t="s">
        <v>152</v>
      </c>
      <c r="G57" s="3" t="s">
        <v>2396</v>
      </c>
      <c r="H57" s="3" t="s">
        <v>715</v>
      </c>
      <c r="I57" s="3" t="s">
        <v>2397</v>
      </c>
      <c r="J57" s="3" t="s">
        <v>2398</v>
      </c>
      <c r="K57" s="3" t="s">
        <v>1789</v>
      </c>
      <c r="L57" s="3" t="s">
        <v>2399</v>
      </c>
      <c r="M57" s="26">
        <v>36107.0</v>
      </c>
      <c r="N57" s="3" t="s">
        <v>2400</v>
      </c>
      <c r="O57" s="3" t="s">
        <v>2401</v>
      </c>
      <c r="P57" s="3" t="s">
        <v>2402</v>
      </c>
      <c r="Q57" s="3" t="s">
        <v>2403</v>
      </c>
      <c r="R57" s="3" t="s">
        <v>2404</v>
      </c>
      <c r="S57" s="3" t="s">
        <v>2405</v>
      </c>
      <c r="T57" s="3" t="s">
        <v>2406</v>
      </c>
      <c r="U57" s="3" t="s">
        <v>1271</v>
      </c>
      <c r="V57" s="3" t="s">
        <v>2407</v>
      </c>
      <c r="W57" s="3" t="s">
        <v>2408</v>
      </c>
      <c r="X57" s="3" t="s">
        <v>2409</v>
      </c>
      <c r="Y57" s="3" t="s">
        <v>969</v>
      </c>
      <c r="Z57" s="3" t="s">
        <v>1484</v>
      </c>
      <c r="AA57" s="3" t="s">
        <v>971</v>
      </c>
      <c r="AB57" s="4"/>
      <c r="AC57" s="3" t="s">
        <v>969</v>
      </c>
      <c r="AD57" s="3" t="s">
        <v>2410</v>
      </c>
      <c r="AE57" s="4"/>
      <c r="AF57" s="3" t="s">
        <v>2411</v>
      </c>
      <c r="AG57" s="3" t="s">
        <v>1030</v>
      </c>
      <c r="AH57" s="3" t="s">
        <v>971</v>
      </c>
      <c r="AI57" s="4"/>
      <c r="AJ57" s="3" t="s">
        <v>969</v>
      </c>
      <c r="AK57" s="3" t="s">
        <v>2412</v>
      </c>
      <c r="AL57" s="3" t="s">
        <v>2413</v>
      </c>
      <c r="AM57" s="3" t="s">
        <v>2414</v>
      </c>
      <c r="AN57" s="3" t="s">
        <v>2415</v>
      </c>
      <c r="AO57" s="3" t="s">
        <v>2416</v>
      </c>
      <c r="AP57" s="3" t="s">
        <v>2417</v>
      </c>
      <c r="AQ57" s="3" t="s">
        <v>2418</v>
      </c>
      <c r="AR57" s="3" t="s">
        <v>2419</v>
      </c>
      <c r="AS57" s="3" t="s">
        <v>969</v>
      </c>
      <c r="AT57" s="3" t="s">
        <v>969</v>
      </c>
      <c r="AU57" s="3" t="s">
        <v>1039</v>
      </c>
      <c r="AV57" s="3" t="s">
        <v>2420</v>
      </c>
      <c r="AW57" s="3" t="s">
        <v>2421</v>
      </c>
      <c r="AX57" s="3" t="s">
        <v>969</v>
      </c>
      <c r="AY57" s="27">
        <v>15.99</v>
      </c>
      <c r="AZ57" s="5" t="s">
        <v>69</v>
      </c>
      <c r="BA57" s="5" t="s">
        <v>22</v>
      </c>
    </row>
    <row r="58" ht="15.75" customHeight="1">
      <c r="A58" s="24"/>
      <c r="B58" s="24">
        <v>86.0</v>
      </c>
      <c r="C58" s="5" t="s">
        <v>69</v>
      </c>
      <c r="D58" s="3" t="s">
        <v>953</v>
      </c>
      <c r="E58" s="25">
        <v>46202.81666666667</v>
      </c>
      <c r="F58" s="3" t="s">
        <v>2422</v>
      </c>
      <c r="G58" s="3" t="s">
        <v>2422</v>
      </c>
      <c r="H58" s="3" t="s">
        <v>627</v>
      </c>
      <c r="I58" s="3" t="s">
        <v>2423</v>
      </c>
      <c r="J58" s="3" t="s">
        <v>2424</v>
      </c>
      <c r="K58" s="3" t="s">
        <v>2425</v>
      </c>
      <c r="L58" s="3" t="s">
        <v>2426</v>
      </c>
      <c r="M58" s="26">
        <v>37496.0</v>
      </c>
      <c r="N58" s="3" t="s">
        <v>2427</v>
      </c>
      <c r="O58" s="3" t="s">
        <v>2428</v>
      </c>
      <c r="P58" s="4"/>
      <c r="Q58" s="3" t="s">
        <v>2429</v>
      </c>
      <c r="R58" s="4"/>
      <c r="S58" s="3" t="s">
        <v>2430</v>
      </c>
      <c r="T58" s="3" t="s">
        <v>2431</v>
      </c>
      <c r="U58" s="3" t="s">
        <v>1050</v>
      </c>
      <c r="V58" s="3" t="s">
        <v>1738</v>
      </c>
      <c r="W58" s="3" t="s">
        <v>2432</v>
      </c>
      <c r="X58" s="3" t="s">
        <v>2433</v>
      </c>
      <c r="Y58" s="3" t="s">
        <v>971</v>
      </c>
      <c r="Z58" s="3" t="s">
        <v>1690</v>
      </c>
      <c r="AA58" s="3" t="s">
        <v>969</v>
      </c>
      <c r="AB58" s="3" t="s">
        <v>2434</v>
      </c>
      <c r="AC58" s="3" t="s">
        <v>6</v>
      </c>
      <c r="AD58" s="3" t="s">
        <v>2435</v>
      </c>
      <c r="AE58" s="3" t="s">
        <v>2436</v>
      </c>
      <c r="AF58" s="3" t="s">
        <v>2437</v>
      </c>
      <c r="AG58" s="3" t="s">
        <v>1804</v>
      </c>
      <c r="AH58" s="3" t="s">
        <v>971</v>
      </c>
      <c r="AI58" s="4"/>
      <c r="AJ58" s="3" t="s">
        <v>2438</v>
      </c>
      <c r="AK58" s="3" t="s">
        <v>2439</v>
      </c>
      <c r="AL58" s="4"/>
      <c r="AM58" s="3" t="s">
        <v>2440</v>
      </c>
      <c r="AN58" s="3" t="s">
        <v>2441</v>
      </c>
      <c r="AO58" s="3" t="s">
        <v>2442</v>
      </c>
      <c r="AP58" s="3" t="s">
        <v>2443</v>
      </c>
      <c r="AQ58" s="3" t="s">
        <v>2444</v>
      </c>
      <c r="AR58" s="3" t="s">
        <v>2445</v>
      </c>
      <c r="AS58" s="3" t="s">
        <v>969</v>
      </c>
      <c r="AT58" s="3" t="s">
        <v>969</v>
      </c>
      <c r="AU58" s="3" t="s">
        <v>1260</v>
      </c>
      <c r="AV58" s="3" t="s">
        <v>917</v>
      </c>
      <c r="AW58" s="3" t="s">
        <v>2446</v>
      </c>
      <c r="AX58" s="3" t="s">
        <v>969</v>
      </c>
      <c r="AY58" s="27">
        <v>15.99</v>
      </c>
      <c r="AZ58" s="5" t="s">
        <v>69</v>
      </c>
      <c r="BA58" s="5" t="s">
        <v>22</v>
      </c>
    </row>
    <row r="59" ht="15.75" customHeight="1">
      <c r="A59" s="24"/>
      <c r="B59" s="24">
        <v>85.0</v>
      </c>
      <c r="C59" s="5" t="s">
        <v>24</v>
      </c>
      <c r="D59" s="3" t="s">
        <v>953</v>
      </c>
      <c r="E59" s="25">
        <v>46202.67222222222</v>
      </c>
      <c r="F59" s="3" t="s">
        <v>146</v>
      </c>
      <c r="G59" s="3" t="s">
        <v>146</v>
      </c>
      <c r="H59" s="3" t="s">
        <v>147</v>
      </c>
      <c r="I59" s="3" t="s">
        <v>147</v>
      </c>
      <c r="J59" s="3" t="s">
        <v>2447</v>
      </c>
      <c r="K59" s="3" t="s">
        <v>2448</v>
      </c>
      <c r="L59" s="3" t="s">
        <v>2449</v>
      </c>
      <c r="M59" s="26">
        <v>36982.0</v>
      </c>
      <c r="N59" s="3" t="s">
        <v>2450</v>
      </c>
      <c r="O59" s="3" t="s">
        <v>2449</v>
      </c>
      <c r="P59" s="4"/>
      <c r="Q59" s="3" t="s">
        <v>2451</v>
      </c>
      <c r="R59" s="3" t="s">
        <v>146</v>
      </c>
      <c r="S59" s="3" t="s">
        <v>2452</v>
      </c>
      <c r="T59" s="3" t="s">
        <v>2453</v>
      </c>
      <c r="U59" s="3" t="s">
        <v>1896</v>
      </c>
      <c r="V59" s="3" t="s">
        <v>2454</v>
      </c>
      <c r="W59" s="3" t="s">
        <v>2455</v>
      </c>
      <c r="X59" s="3" t="s">
        <v>2456</v>
      </c>
      <c r="Y59" s="3" t="s">
        <v>971</v>
      </c>
      <c r="Z59" s="3" t="s">
        <v>2457</v>
      </c>
      <c r="AA59" s="3" t="s">
        <v>969</v>
      </c>
      <c r="AB59" s="3" t="s">
        <v>2458</v>
      </c>
      <c r="AC59" s="3" t="s">
        <v>2459</v>
      </c>
      <c r="AD59" s="3" t="s">
        <v>969</v>
      </c>
      <c r="AE59" s="3" t="s">
        <v>2460</v>
      </c>
      <c r="AF59" s="3" t="s">
        <v>2461</v>
      </c>
      <c r="AG59" s="3" t="s">
        <v>2462</v>
      </c>
      <c r="AH59" s="3" t="s">
        <v>969</v>
      </c>
      <c r="AI59" s="3" t="s">
        <v>2463</v>
      </c>
      <c r="AJ59" s="3" t="s">
        <v>971</v>
      </c>
      <c r="AK59" s="4"/>
      <c r="AL59" s="3" t="s">
        <v>2464</v>
      </c>
      <c r="AM59" s="3" t="s">
        <v>2465</v>
      </c>
      <c r="AN59" s="3" t="s">
        <v>2466</v>
      </c>
      <c r="AO59" s="3" t="s">
        <v>2467</v>
      </c>
      <c r="AP59" s="3" t="s">
        <v>2468</v>
      </c>
      <c r="AQ59" s="3" t="s">
        <v>2469</v>
      </c>
      <c r="AR59" s="3" t="s">
        <v>2470</v>
      </c>
      <c r="AS59" s="3" t="s">
        <v>969</v>
      </c>
      <c r="AT59" s="3" t="s">
        <v>969</v>
      </c>
      <c r="AU59" s="3" t="s">
        <v>1039</v>
      </c>
      <c r="AV59" s="3" t="s">
        <v>1261</v>
      </c>
      <c r="AW59" s="3" t="s">
        <v>2471</v>
      </c>
      <c r="AX59" s="3" t="s">
        <v>969</v>
      </c>
      <c r="AY59" s="27">
        <v>15.99</v>
      </c>
      <c r="AZ59" s="5" t="s">
        <v>24</v>
      </c>
      <c r="BA59" s="5" t="s">
        <v>7</v>
      </c>
    </row>
    <row r="60" ht="15.75" customHeight="1">
      <c r="A60" s="24"/>
      <c r="B60" s="24">
        <v>84.0</v>
      </c>
      <c r="C60" s="5" t="s">
        <v>69</v>
      </c>
      <c r="D60" s="3" t="s">
        <v>953</v>
      </c>
      <c r="E60" s="25">
        <v>46202.60555555556</v>
      </c>
      <c r="F60" s="3" t="s">
        <v>141</v>
      </c>
      <c r="G60" s="3" t="s">
        <v>141</v>
      </c>
      <c r="H60" s="3" t="s">
        <v>142</v>
      </c>
      <c r="I60" s="3" t="s">
        <v>2472</v>
      </c>
      <c r="J60" s="3" t="s">
        <v>2473</v>
      </c>
      <c r="K60" s="3" t="s">
        <v>2348</v>
      </c>
      <c r="L60" s="3" t="s">
        <v>2474</v>
      </c>
      <c r="M60" s="26">
        <v>39906.0</v>
      </c>
      <c r="N60" s="3" t="s">
        <v>2475</v>
      </c>
      <c r="O60" s="3" t="s">
        <v>2476</v>
      </c>
      <c r="P60" s="3" t="s">
        <v>2477</v>
      </c>
      <c r="Q60" s="4"/>
      <c r="R60" s="4"/>
      <c r="S60" s="3" t="s">
        <v>2478</v>
      </c>
      <c r="T60" s="3" t="s">
        <v>2479</v>
      </c>
      <c r="U60" s="3" t="s">
        <v>2208</v>
      </c>
      <c r="V60" s="3" t="s">
        <v>2480</v>
      </c>
      <c r="W60" s="4"/>
      <c r="X60" s="3" t="s">
        <v>2481</v>
      </c>
      <c r="Y60" s="3" t="s">
        <v>969</v>
      </c>
      <c r="Z60" s="3" t="s">
        <v>2332</v>
      </c>
      <c r="AA60" s="3" t="s">
        <v>971</v>
      </c>
      <c r="AB60" s="4"/>
      <c r="AC60" s="3" t="s">
        <v>2482</v>
      </c>
      <c r="AD60" s="3" t="s">
        <v>2483</v>
      </c>
      <c r="AE60" s="4"/>
      <c r="AF60" s="3" t="s">
        <v>1250</v>
      </c>
      <c r="AG60" s="3" t="s">
        <v>2040</v>
      </c>
      <c r="AH60" s="3" t="s">
        <v>971</v>
      </c>
      <c r="AI60" s="4"/>
      <c r="AJ60" s="3" t="s">
        <v>971</v>
      </c>
      <c r="AK60" s="4"/>
      <c r="AL60" s="3" t="s">
        <v>2484</v>
      </c>
      <c r="AM60" s="3" t="s">
        <v>2485</v>
      </c>
      <c r="AN60" s="3" t="s">
        <v>2486</v>
      </c>
      <c r="AO60" s="3" t="s">
        <v>2487</v>
      </c>
      <c r="AP60" s="3" t="s">
        <v>2488</v>
      </c>
      <c r="AQ60" s="3" t="s">
        <v>2489</v>
      </c>
      <c r="AR60" s="3" t="s">
        <v>2490</v>
      </c>
      <c r="AS60" s="3" t="s">
        <v>969</v>
      </c>
      <c r="AT60" s="3" t="s">
        <v>969</v>
      </c>
      <c r="AU60" s="3" t="s">
        <v>1233</v>
      </c>
      <c r="AV60" s="3" t="s">
        <v>1470</v>
      </c>
      <c r="AW60" s="3" t="s">
        <v>2491</v>
      </c>
      <c r="AX60" s="3" t="s">
        <v>969</v>
      </c>
      <c r="AY60" s="27">
        <v>15.99</v>
      </c>
      <c r="AZ60" s="5" t="s">
        <v>69</v>
      </c>
      <c r="BA60" s="5" t="s">
        <v>7</v>
      </c>
    </row>
    <row r="61" ht="15.75" customHeight="1">
      <c r="A61" s="24"/>
      <c r="B61" s="24">
        <v>80.0</v>
      </c>
      <c r="C61" s="5" t="s">
        <v>24</v>
      </c>
      <c r="D61" s="3" t="s">
        <v>953</v>
      </c>
      <c r="E61" s="25">
        <v>46201.85694444444</v>
      </c>
      <c r="F61" s="3" t="s">
        <v>133</v>
      </c>
      <c r="G61" s="3" t="s">
        <v>133</v>
      </c>
      <c r="H61" s="3" t="s">
        <v>541</v>
      </c>
      <c r="I61" s="3" t="s">
        <v>541</v>
      </c>
      <c r="J61" s="3" t="s">
        <v>2492</v>
      </c>
      <c r="K61" s="3" t="s">
        <v>2348</v>
      </c>
      <c r="L61" s="3" t="s">
        <v>2493</v>
      </c>
      <c r="M61" s="26">
        <v>39152.0</v>
      </c>
      <c r="N61" s="3" t="s">
        <v>2494</v>
      </c>
      <c r="O61" s="3" t="s">
        <v>2495</v>
      </c>
      <c r="P61" s="4"/>
      <c r="Q61" s="4"/>
      <c r="R61" s="4"/>
      <c r="S61" s="3" t="s">
        <v>2496</v>
      </c>
      <c r="T61" s="3" t="s">
        <v>2497</v>
      </c>
      <c r="U61" s="3" t="s">
        <v>1949</v>
      </c>
      <c r="V61" s="3" t="s">
        <v>1949</v>
      </c>
      <c r="W61" s="3" t="s">
        <v>2498</v>
      </c>
      <c r="X61" s="3" t="s">
        <v>2499</v>
      </c>
      <c r="Y61" s="3" t="s">
        <v>969</v>
      </c>
      <c r="Z61" s="3" t="s">
        <v>2332</v>
      </c>
      <c r="AA61" s="3" t="s">
        <v>971</v>
      </c>
      <c r="AB61" s="4"/>
      <c r="AC61" s="4"/>
      <c r="AD61" s="3" t="s">
        <v>2500</v>
      </c>
      <c r="AE61" s="4"/>
      <c r="AF61" s="4"/>
      <c r="AG61" s="4"/>
      <c r="AH61" s="3" t="s">
        <v>971</v>
      </c>
      <c r="AI61" s="4"/>
      <c r="AJ61" s="4"/>
      <c r="AK61" s="4"/>
      <c r="AL61" s="3" t="s">
        <v>2501</v>
      </c>
      <c r="AM61" s="3" t="s">
        <v>2502</v>
      </c>
      <c r="AN61" s="3" t="s">
        <v>2503</v>
      </c>
      <c r="AO61" s="3" t="s">
        <v>2504</v>
      </c>
      <c r="AP61" s="3" t="s">
        <v>2505</v>
      </c>
      <c r="AQ61" s="3" t="s">
        <v>2506</v>
      </c>
      <c r="AR61" s="3" t="s">
        <v>2507</v>
      </c>
      <c r="AS61" s="3" t="s">
        <v>971</v>
      </c>
      <c r="AT61" s="3" t="s">
        <v>971</v>
      </c>
      <c r="AU61" s="3" t="s">
        <v>1039</v>
      </c>
      <c r="AV61" s="3" t="s">
        <v>2508</v>
      </c>
      <c r="AW61" s="3" t="s">
        <v>1288</v>
      </c>
      <c r="AX61" s="3" t="s">
        <v>969</v>
      </c>
      <c r="AY61" s="27">
        <v>15.99</v>
      </c>
      <c r="AZ61" s="5" t="s">
        <v>24</v>
      </c>
      <c r="BA61" s="5" t="s">
        <v>22</v>
      </c>
    </row>
    <row r="62" ht="15.75" customHeight="1">
      <c r="A62" s="24"/>
      <c r="B62" s="24">
        <v>78.0</v>
      </c>
      <c r="C62" s="5" t="s">
        <v>24</v>
      </c>
      <c r="D62" s="3" t="s">
        <v>953</v>
      </c>
      <c r="E62" s="25">
        <v>46200.76944444444</v>
      </c>
      <c r="F62" s="3" t="s">
        <v>131</v>
      </c>
      <c r="G62" s="3" t="s">
        <v>131</v>
      </c>
      <c r="H62" s="3" t="s">
        <v>822</v>
      </c>
      <c r="I62" s="3" t="s">
        <v>2509</v>
      </c>
      <c r="J62" s="3" t="s">
        <v>2510</v>
      </c>
      <c r="K62" s="3" t="s">
        <v>130</v>
      </c>
      <c r="L62" s="3" t="s">
        <v>2511</v>
      </c>
      <c r="M62" s="26">
        <v>34477.0</v>
      </c>
      <c r="N62" s="3" t="s">
        <v>2512</v>
      </c>
      <c r="O62" s="3" t="s">
        <v>2513</v>
      </c>
      <c r="P62" s="3" t="s">
        <v>2514</v>
      </c>
      <c r="Q62" s="3" t="s">
        <v>2515</v>
      </c>
      <c r="R62" s="4"/>
      <c r="S62" s="3" t="s">
        <v>2516</v>
      </c>
      <c r="T62" s="3" t="s">
        <v>2517</v>
      </c>
      <c r="U62" s="3" t="s">
        <v>1896</v>
      </c>
      <c r="V62" s="3" t="s">
        <v>2518</v>
      </c>
      <c r="W62" s="3" t="s">
        <v>2519</v>
      </c>
      <c r="X62" s="3" t="s">
        <v>2520</v>
      </c>
      <c r="Y62" s="3" t="s">
        <v>971</v>
      </c>
      <c r="Z62" s="3" t="s">
        <v>1690</v>
      </c>
      <c r="AA62" s="3" t="s">
        <v>971</v>
      </c>
      <c r="AB62" s="4"/>
      <c r="AC62" s="3" t="s">
        <v>969</v>
      </c>
      <c r="AD62" s="3" t="s">
        <v>2521</v>
      </c>
      <c r="AE62" s="3" t="s">
        <v>2522</v>
      </c>
      <c r="AF62" s="3" t="s">
        <v>2523</v>
      </c>
      <c r="AG62" s="3" t="s">
        <v>2524</v>
      </c>
      <c r="AH62" s="3" t="s">
        <v>971</v>
      </c>
      <c r="AI62" s="4"/>
      <c r="AJ62" s="4"/>
      <c r="AK62" s="4"/>
      <c r="AL62" s="3" t="s">
        <v>2525</v>
      </c>
      <c r="AM62" s="3" t="s">
        <v>2526</v>
      </c>
      <c r="AN62" s="3" t="s">
        <v>2527</v>
      </c>
      <c r="AO62" s="3" t="s">
        <v>2528</v>
      </c>
      <c r="AP62" s="3" t="s">
        <v>2529</v>
      </c>
      <c r="AQ62" s="3" t="s">
        <v>2530</v>
      </c>
      <c r="AR62" s="3" t="s">
        <v>2531</v>
      </c>
      <c r="AS62" s="3" t="s">
        <v>969</v>
      </c>
      <c r="AT62" s="3" t="s">
        <v>969</v>
      </c>
      <c r="AU62" s="3" t="s">
        <v>1039</v>
      </c>
      <c r="AV62" s="3" t="s">
        <v>1144</v>
      </c>
      <c r="AW62" s="3" t="s">
        <v>1288</v>
      </c>
      <c r="AX62" s="3" t="s">
        <v>969</v>
      </c>
      <c r="AY62" s="27">
        <v>15.99</v>
      </c>
      <c r="AZ62" s="5" t="s">
        <v>24</v>
      </c>
      <c r="BA62" s="5" t="s">
        <v>22</v>
      </c>
    </row>
    <row r="63" ht="15.75" customHeight="1">
      <c r="A63" s="24"/>
      <c r="B63" s="24">
        <v>75.0</v>
      </c>
      <c r="C63" s="5" t="s">
        <v>24</v>
      </c>
      <c r="D63" s="3" t="s">
        <v>953</v>
      </c>
      <c r="E63" s="25">
        <v>46199.98541666667</v>
      </c>
      <c r="F63" s="3" t="s">
        <v>2532</v>
      </c>
      <c r="G63" s="3" t="s">
        <v>2532</v>
      </c>
      <c r="H63" s="3" t="s">
        <v>584</v>
      </c>
      <c r="I63" s="3" t="s">
        <v>2533</v>
      </c>
      <c r="J63" s="4"/>
      <c r="K63" s="3" t="s">
        <v>2223</v>
      </c>
      <c r="L63" s="3" t="s">
        <v>2534</v>
      </c>
      <c r="M63" s="26">
        <v>38748.0</v>
      </c>
      <c r="N63" s="3" t="s">
        <v>2535</v>
      </c>
      <c r="O63" s="3" t="s">
        <v>2536</v>
      </c>
      <c r="P63" s="4"/>
      <c r="Q63" s="4"/>
      <c r="R63" s="4"/>
      <c r="S63" s="3" t="s">
        <v>2537</v>
      </c>
      <c r="T63" s="3" t="s">
        <v>2538</v>
      </c>
      <c r="U63" s="3" t="s">
        <v>1124</v>
      </c>
      <c r="V63" s="3" t="s">
        <v>2539</v>
      </c>
      <c r="W63" s="3" t="s">
        <v>2540</v>
      </c>
      <c r="X63" s="3" t="s">
        <v>2541</v>
      </c>
      <c r="Y63" s="3" t="s">
        <v>969</v>
      </c>
      <c r="Z63" s="4"/>
      <c r="AA63" s="3" t="s">
        <v>971</v>
      </c>
      <c r="AB63" s="4"/>
      <c r="AC63" s="4"/>
      <c r="AD63" s="3" t="s">
        <v>2542</v>
      </c>
      <c r="AE63" s="3" t="s">
        <v>2543</v>
      </c>
      <c r="AF63" s="3" t="s">
        <v>2544</v>
      </c>
      <c r="AG63" s="3" t="s">
        <v>1133</v>
      </c>
      <c r="AH63" s="3" t="s">
        <v>971</v>
      </c>
      <c r="AI63" s="4"/>
      <c r="AJ63" s="4"/>
      <c r="AK63" s="4"/>
      <c r="AL63" s="4"/>
      <c r="AM63" s="3" t="s">
        <v>2545</v>
      </c>
      <c r="AN63" s="3" t="s">
        <v>2546</v>
      </c>
      <c r="AO63" s="3" t="s">
        <v>2547</v>
      </c>
      <c r="AP63" s="3" t="s">
        <v>2548</v>
      </c>
      <c r="AQ63" s="3" t="s">
        <v>2549</v>
      </c>
      <c r="AR63" s="3" t="s">
        <v>2550</v>
      </c>
      <c r="AS63" s="3" t="s">
        <v>969</v>
      </c>
      <c r="AT63" s="3" t="s">
        <v>969</v>
      </c>
      <c r="AU63" s="3" t="s">
        <v>1409</v>
      </c>
      <c r="AV63" s="3" t="s">
        <v>2551</v>
      </c>
      <c r="AW63" s="4"/>
      <c r="AX63" s="3" t="s">
        <v>969</v>
      </c>
      <c r="AY63" s="27">
        <v>15.99</v>
      </c>
      <c r="AZ63" s="5" t="s">
        <v>24</v>
      </c>
      <c r="BA63" s="5" t="s">
        <v>22</v>
      </c>
    </row>
    <row r="64" ht="15.75" customHeight="1">
      <c r="A64" s="24"/>
      <c r="B64" s="24">
        <v>60.0</v>
      </c>
      <c r="C64" s="5" t="s">
        <v>24</v>
      </c>
      <c r="D64" s="3" t="s">
        <v>953</v>
      </c>
      <c r="E64" s="25">
        <v>46195.14305555556</v>
      </c>
      <c r="F64" s="3" t="s">
        <v>97</v>
      </c>
      <c r="G64" s="3" t="s">
        <v>2552</v>
      </c>
      <c r="H64" s="3" t="s">
        <v>579</v>
      </c>
      <c r="I64" s="3" t="s">
        <v>2553</v>
      </c>
      <c r="J64" s="3" t="s">
        <v>2554</v>
      </c>
      <c r="K64" s="3" t="s">
        <v>1789</v>
      </c>
      <c r="L64" s="3" t="s">
        <v>2555</v>
      </c>
      <c r="M64" s="26">
        <v>34760.0</v>
      </c>
      <c r="N64" s="3" t="s">
        <v>2556</v>
      </c>
      <c r="O64" s="3" t="s">
        <v>2557</v>
      </c>
      <c r="P64" s="3" t="s">
        <v>2558</v>
      </c>
      <c r="Q64" s="4"/>
      <c r="R64" s="4"/>
      <c r="S64" s="3" t="s">
        <v>2559</v>
      </c>
      <c r="T64" s="3" t="s">
        <v>2560</v>
      </c>
      <c r="U64" s="3" t="s">
        <v>1124</v>
      </c>
      <c r="V64" s="3" t="s">
        <v>2561</v>
      </c>
      <c r="W64" s="3" t="s">
        <v>2562</v>
      </c>
      <c r="X64" s="3" t="s">
        <v>2563</v>
      </c>
      <c r="Y64" s="3" t="s">
        <v>971</v>
      </c>
      <c r="Z64" s="3" t="s">
        <v>1801</v>
      </c>
      <c r="AA64" s="3" t="s">
        <v>971</v>
      </c>
      <c r="AB64" s="4"/>
      <c r="AC64" s="3" t="s">
        <v>969</v>
      </c>
      <c r="AD64" s="3" t="s">
        <v>971</v>
      </c>
      <c r="AE64" s="3" t="s">
        <v>2564</v>
      </c>
      <c r="AF64" s="3" t="s">
        <v>1684</v>
      </c>
      <c r="AG64" s="3" t="s">
        <v>1684</v>
      </c>
      <c r="AH64" s="3" t="s">
        <v>969</v>
      </c>
      <c r="AI64" s="3" t="s">
        <v>2565</v>
      </c>
      <c r="AJ64" s="3" t="s">
        <v>2566</v>
      </c>
      <c r="AK64" s="3" t="s">
        <v>1684</v>
      </c>
      <c r="AL64" s="3" t="s">
        <v>2567</v>
      </c>
      <c r="AM64" s="3" t="s">
        <v>2568</v>
      </c>
      <c r="AN64" s="3" t="s">
        <v>2569</v>
      </c>
      <c r="AO64" s="3" t="s">
        <v>2570</v>
      </c>
      <c r="AP64" s="3" t="s">
        <v>2571</v>
      </c>
      <c r="AQ64" s="3" t="s">
        <v>2572</v>
      </c>
      <c r="AR64" s="3" t="s">
        <v>2573</v>
      </c>
      <c r="AS64" s="3" t="s">
        <v>971</v>
      </c>
      <c r="AT64" s="3" t="s">
        <v>969</v>
      </c>
      <c r="AU64" s="3" t="s">
        <v>981</v>
      </c>
      <c r="AV64" s="3" t="s">
        <v>2574</v>
      </c>
      <c r="AW64" s="3" t="s">
        <v>2575</v>
      </c>
      <c r="AX64" s="3" t="s">
        <v>969</v>
      </c>
      <c r="AY64" s="27">
        <v>15.99</v>
      </c>
      <c r="AZ64" s="5" t="s">
        <v>24</v>
      </c>
      <c r="BA64" s="5" t="s">
        <v>22</v>
      </c>
    </row>
    <row r="65" ht="15.75" customHeight="1">
      <c r="A65" s="24"/>
      <c r="B65" s="24">
        <v>58.0</v>
      </c>
      <c r="C65" s="5" t="s">
        <v>24</v>
      </c>
      <c r="D65" s="3" t="s">
        <v>953</v>
      </c>
      <c r="E65" s="25">
        <v>46194.97152777778</v>
      </c>
      <c r="F65" s="3" t="s">
        <v>2576</v>
      </c>
      <c r="G65" s="3" t="s">
        <v>2577</v>
      </c>
      <c r="H65" s="3" t="s">
        <v>481</v>
      </c>
      <c r="I65" s="3" t="s">
        <v>481</v>
      </c>
      <c r="J65" s="3" t="s">
        <v>2578</v>
      </c>
      <c r="K65" s="3" t="s">
        <v>2579</v>
      </c>
      <c r="L65" s="3" t="s">
        <v>2580</v>
      </c>
      <c r="M65" s="26">
        <v>35376.0</v>
      </c>
      <c r="N65" s="3" t="s">
        <v>2581</v>
      </c>
      <c r="O65" s="3" t="s">
        <v>2580</v>
      </c>
      <c r="P65" s="4"/>
      <c r="Q65" s="4"/>
      <c r="R65" s="4"/>
      <c r="S65" s="3" t="s">
        <v>2582</v>
      </c>
      <c r="T65" s="3" t="s">
        <v>2583</v>
      </c>
      <c r="U65" s="3" t="s">
        <v>1370</v>
      </c>
      <c r="V65" s="3" t="s">
        <v>2584</v>
      </c>
      <c r="W65" s="3" t="s">
        <v>2585</v>
      </c>
      <c r="X65" s="3" t="s">
        <v>2586</v>
      </c>
      <c r="Y65" s="3" t="s">
        <v>971</v>
      </c>
      <c r="Z65" s="3" t="s">
        <v>2587</v>
      </c>
      <c r="AA65" s="3" t="s">
        <v>971</v>
      </c>
      <c r="AB65" s="4"/>
      <c r="AC65" s="4"/>
      <c r="AD65" s="3" t="s">
        <v>2588</v>
      </c>
      <c r="AE65" s="3" t="s">
        <v>2589</v>
      </c>
      <c r="AF65" s="3" t="s">
        <v>1250</v>
      </c>
      <c r="AG65" s="3" t="s">
        <v>2590</v>
      </c>
      <c r="AH65" s="3" t="s">
        <v>971</v>
      </c>
      <c r="AI65" s="4"/>
      <c r="AJ65" s="3" t="s">
        <v>969</v>
      </c>
      <c r="AK65" s="3" t="s">
        <v>2591</v>
      </c>
      <c r="AL65" s="3" t="s">
        <v>2592</v>
      </c>
      <c r="AM65" s="3" t="s">
        <v>2593</v>
      </c>
      <c r="AN65" s="3" t="s">
        <v>2594</v>
      </c>
      <c r="AO65" s="3" t="s">
        <v>2595</v>
      </c>
      <c r="AP65" s="3" t="s">
        <v>2596</v>
      </c>
      <c r="AQ65" s="3" t="s">
        <v>2597</v>
      </c>
      <c r="AR65" s="3" t="s">
        <v>2598</v>
      </c>
      <c r="AS65" s="3" t="s">
        <v>969</v>
      </c>
      <c r="AT65" s="3" t="s">
        <v>969</v>
      </c>
      <c r="AU65" s="3" t="s">
        <v>1409</v>
      </c>
      <c r="AV65" s="3" t="s">
        <v>2599</v>
      </c>
      <c r="AW65" s="3" t="s">
        <v>2600</v>
      </c>
      <c r="AX65" s="3" t="s">
        <v>969</v>
      </c>
      <c r="AY65" s="27">
        <v>15.99</v>
      </c>
      <c r="AZ65" s="5" t="s">
        <v>24</v>
      </c>
      <c r="BA65" s="5" t="s">
        <v>22</v>
      </c>
    </row>
    <row r="66" ht="15.75" customHeight="1">
      <c r="A66" s="24"/>
      <c r="B66" s="24">
        <v>57.0</v>
      </c>
      <c r="C66" s="5" t="s">
        <v>24</v>
      </c>
      <c r="D66" s="3" t="s">
        <v>953</v>
      </c>
      <c r="E66" s="25">
        <v>46194.63680555556</v>
      </c>
      <c r="F66" s="3" t="s">
        <v>89</v>
      </c>
      <c r="G66" s="3" t="s">
        <v>89</v>
      </c>
      <c r="H66" s="3" t="s">
        <v>555</v>
      </c>
      <c r="I66" s="3" t="s">
        <v>2601</v>
      </c>
      <c r="J66" s="3" t="s">
        <v>2602</v>
      </c>
      <c r="K66" s="3" t="s">
        <v>189</v>
      </c>
      <c r="L66" s="3" t="s">
        <v>2603</v>
      </c>
      <c r="M66" s="26">
        <v>31780.0</v>
      </c>
      <c r="N66" s="3" t="s">
        <v>2604</v>
      </c>
      <c r="O66" s="3" t="s">
        <v>2605</v>
      </c>
      <c r="P66" s="4"/>
      <c r="Q66" s="4"/>
      <c r="R66" s="4"/>
      <c r="S66" s="3" t="s">
        <v>2606</v>
      </c>
      <c r="T66" s="3" t="s">
        <v>2607</v>
      </c>
      <c r="U66" s="3" t="s">
        <v>2608</v>
      </c>
      <c r="V66" s="3" t="s">
        <v>2609</v>
      </c>
      <c r="W66" s="3" t="s">
        <v>2610</v>
      </c>
      <c r="X66" s="3" t="s">
        <v>2611</v>
      </c>
      <c r="Y66" s="3" t="s">
        <v>971</v>
      </c>
      <c r="Z66" s="3" t="s">
        <v>1128</v>
      </c>
      <c r="AA66" s="3" t="s">
        <v>971</v>
      </c>
      <c r="AB66" s="4"/>
      <c r="AC66" s="4"/>
      <c r="AD66" s="3" t="s">
        <v>2612</v>
      </c>
      <c r="AE66" s="4"/>
      <c r="AF66" s="4"/>
      <c r="AG66" s="4"/>
      <c r="AH66" s="3" t="s">
        <v>969</v>
      </c>
      <c r="AI66" s="3" t="s">
        <v>2613</v>
      </c>
      <c r="AJ66" s="4"/>
      <c r="AK66" s="4"/>
      <c r="AL66" s="4"/>
      <c r="AM66" s="3" t="s">
        <v>2614</v>
      </c>
      <c r="AN66" s="3" t="s">
        <v>2615</v>
      </c>
      <c r="AO66" s="3" t="s">
        <v>2616</v>
      </c>
      <c r="AP66" s="3" t="s">
        <v>2617</v>
      </c>
      <c r="AQ66" s="3" t="s">
        <v>2618</v>
      </c>
      <c r="AR66" s="3" t="s">
        <v>2619</v>
      </c>
      <c r="AS66" s="3" t="s">
        <v>969</v>
      </c>
      <c r="AT66" s="3" t="s">
        <v>969</v>
      </c>
      <c r="AU66" s="3" t="s">
        <v>1039</v>
      </c>
      <c r="AV66" s="3" t="s">
        <v>1261</v>
      </c>
      <c r="AW66" s="3" t="s">
        <v>2620</v>
      </c>
      <c r="AX66" s="3" t="s">
        <v>969</v>
      </c>
      <c r="AY66" s="27">
        <v>15.99</v>
      </c>
      <c r="AZ66" s="5" t="s">
        <v>24</v>
      </c>
      <c r="BA66" s="5" t="s">
        <v>22</v>
      </c>
    </row>
    <row r="67" ht="15.75" customHeight="1">
      <c r="A67" s="24"/>
      <c r="B67" s="24">
        <v>55.0</v>
      </c>
      <c r="C67" s="5" t="s">
        <v>24</v>
      </c>
      <c r="D67" s="3" t="s">
        <v>953</v>
      </c>
      <c r="E67" s="25">
        <v>46192.9125</v>
      </c>
      <c r="F67" s="3" t="s">
        <v>83</v>
      </c>
      <c r="G67" s="3" t="s">
        <v>83</v>
      </c>
      <c r="H67" s="3" t="s">
        <v>687</v>
      </c>
      <c r="I67" s="3" t="s">
        <v>2621</v>
      </c>
      <c r="J67" s="3" t="s">
        <v>2622</v>
      </c>
      <c r="K67" s="3" t="s">
        <v>1026</v>
      </c>
      <c r="L67" s="3" t="s">
        <v>2623</v>
      </c>
      <c r="M67" s="26">
        <v>32811.0</v>
      </c>
      <c r="N67" s="3" t="s">
        <v>2624</v>
      </c>
      <c r="O67" s="3" t="s">
        <v>2625</v>
      </c>
      <c r="P67" s="3" t="s">
        <v>2626</v>
      </c>
      <c r="Q67" s="3" t="s">
        <v>2627</v>
      </c>
      <c r="R67" s="3" t="s">
        <v>2628</v>
      </c>
      <c r="S67" s="3" t="s">
        <v>2629</v>
      </c>
      <c r="T67" s="3" t="s">
        <v>2630</v>
      </c>
      <c r="U67" s="3" t="s">
        <v>2631</v>
      </c>
      <c r="V67" s="3" t="s">
        <v>2632</v>
      </c>
      <c r="W67" s="4"/>
      <c r="X67" s="3" t="s">
        <v>2633</v>
      </c>
      <c r="Y67" s="3" t="s">
        <v>971</v>
      </c>
      <c r="Z67" s="3" t="s">
        <v>1026</v>
      </c>
      <c r="AA67" s="3" t="s">
        <v>971</v>
      </c>
      <c r="AB67" s="4"/>
      <c r="AC67" s="4"/>
      <c r="AD67" s="3" t="s">
        <v>2634</v>
      </c>
      <c r="AE67" s="4"/>
      <c r="AF67" s="4"/>
      <c r="AG67" s="4"/>
      <c r="AH67" s="3" t="s">
        <v>971</v>
      </c>
      <c r="AI67" s="3" t="s">
        <v>2635</v>
      </c>
      <c r="AJ67" s="3" t="s">
        <v>971</v>
      </c>
      <c r="AK67" s="4"/>
      <c r="AL67" s="3" t="s">
        <v>2636</v>
      </c>
      <c r="AM67" s="3" t="s">
        <v>2637</v>
      </c>
      <c r="AN67" s="3" t="s">
        <v>2638</v>
      </c>
      <c r="AO67" s="3" t="s">
        <v>2639</v>
      </c>
      <c r="AP67" s="3" t="s">
        <v>2640</v>
      </c>
      <c r="AQ67" s="3" t="s">
        <v>2641</v>
      </c>
      <c r="AR67" s="3" t="s">
        <v>2642</v>
      </c>
      <c r="AS67" s="3" t="s">
        <v>971</v>
      </c>
      <c r="AT67" s="3" t="s">
        <v>971</v>
      </c>
      <c r="AU67" s="3" t="s">
        <v>1039</v>
      </c>
      <c r="AV67" s="3" t="s">
        <v>1498</v>
      </c>
      <c r="AW67" s="3" t="s">
        <v>2643</v>
      </c>
      <c r="AX67" s="3" t="s">
        <v>969</v>
      </c>
      <c r="AY67" s="27">
        <v>15.99</v>
      </c>
      <c r="AZ67" s="5" t="s">
        <v>24</v>
      </c>
      <c r="BA67" s="5" t="s">
        <v>22</v>
      </c>
    </row>
    <row r="68" ht="15.75" customHeight="1">
      <c r="A68" s="24"/>
      <c r="B68" s="24">
        <v>53.0</v>
      </c>
      <c r="C68" s="5" t="s">
        <v>24</v>
      </c>
      <c r="D68" s="3" t="s">
        <v>953</v>
      </c>
      <c r="E68" s="25">
        <v>46192.40069444444</v>
      </c>
      <c r="F68" s="3" t="s">
        <v>2644</v>
      </c>
      <c r="G68" s="3" t="s">
        <v>2645</v>
      </c>
      <c r="H68" s="3" t="s">
        <v>79</v>
      </c>
      <c r="I68" s="3" t="s">
        <v>2646</v>
      </c>
      <c r="J68" s="3" t="s">
        <v>2647</v>
      </c>
      <c r="K68" s="3" t="s">
        <v>2648</v>
      </c>
      <c r="L68" s="3" t="s">
        <v>2649</v>
      </c>
      <c r="M68" s="26">
        <v>37965.0</v>
      </c>
      <c r="N68" s="3" t="s">
        <v>2650</v>
      </c>
      <c r="O68" s="3" t="s">
        <v>2651</v>
      </c>
      <c r="P68" s="3" t="s">
        <v>2652</v>
      </c>
      <c r="Q68" s="4"/>
      <c r="R68" s="4"/>
      <c r="S68" s="3" t="s">
        <v>2653</v>
      </c>
      <c r="T68" s="3" t="s">
        <v>2654</v>
      </c>
      <c r="U68" s="3" t="s">
        <v>2655</v>
      </c>
      <c r="V68" s="3" t="s">
        <v>2656</v>
      </c>
      <c r="W68" s="4"/>
      <c r="X68" s="3" t="s">
        <v>2657</v>
      </c>
      <c r="Y68" s="3" t="s">
        <v>971</v>
      </c>
      <c r="Z68" s="3" t="s">
        <v>2658</v>
      </c>
      <c r="AA68" s="3" t="s">
        <v>971</v>
      </c>
      <c r="AB68" s="4"/>
      <c r="AC68" s="3" t="s">
        <v>6</v>
      </c>
      <c r="AD68" s="3" t="s">
        <v>6</v>
      </c>
      <c r="AE68" s="3" t="s">
        <v>2659</v>
      </c>
      <c r="AF68" s="3" t="s">
        <v>1250</v>
      </c>
      <c r="AG68" s="3" t="s">
        <v>1133</v>
      </c>
      <c r="AH68" s="3" t="s">
        <v>971</v>
      </c>
      <c r="AI68" s="4"/>
      <c r="AJ68" s="3" t="s">
        <v>6</v>
      </c>
      <c r="AK68" s="3" t="s">
        <v>2660</v>
      </c>
      <c r="AL68" s="3" t="s">
        <v>2661</v>
      </c>
      <c r="AM68" s="3" t="s">
        <v>2662</v>
      </c>
      <c r="AN68" s="3" t="s">
        <v>2663</v>
      </c>
      <c r="AO68" s="3" t="s">
        <v>2664</v>
      </c>
      <c r="AP68" s="3" t="s">
        <v>2665</v>
      </c>
      <c r="AQ68" s="3" t="s">
        <v>2666</v>
      </c>
      <c r="AR68" s="3" t="s">
        <v>2667</v>
      </c>
      <c r="AS68" s="3" t="s">
        <v>969</v>
      </c>
      <c r="AT68" s="3" t="s">
        <v>969</v>
      </c>
      <c r="AU68" s="3" t="s">
        <v>1039</v>
      </c>
      <c r="AV68" s="3" t="s">
        <v>2668</v>
      </c>
      <c r="AW68" s="4"/>
      <c r="AX68" s="3" t="s">
        <v>969</v>
      </c>
      <c r="AY68" s="27">
        <v>15.99</v>
      </c>
      <c r="AZ68" s="5" t="s">
        <v>24</v>
      </c>
      <c r="BA68" s="5" t="s">
        <v>43</v>
      </c>
    </row>
    <row r="69" ht="15.75" customHeight="1">
      <c r="A69" s="24"/>
      <c r="B69" s="24">
        <v>52.0</v>
      </c>
      <c r="C69" s="5" t="s">
        <v>24</v>
      </c>
      <c r="D69" s="3" t="s">
        <v>953</v>
      </c>
      <c r="E69" s="25">
        <v>46192.01388888889</v>
      </c>
      <c r="F69" s="3" t="s">
        <v>77</v>
      </c>
      <c r="G69" s="3" t="s">
        <v>2669</v>
      </c>
      <c r="H69" s="3" t="s">
        <v>667</v>
      </c>
      <c r="I69" s="3" t="s">
        <v>2670</v>
      </c>
      <c r="J69" s="3" t="s">
        <v>2671</v>
      </c>
      <c r="K69" s="3" t="s">
        <v>2672</v>
      </c>
      <c r="L69" s="3" t="s">
        <v>2673</v>
      </c>
      <c r="M69" s="26">
        <v>38453.0</v>
      </c>
      <c r="N69" s="3" t="s">
        <v>2674</v>
      </c>
      <c r="O69" s="3" t="s">
        <v>2675</v>
      </c>
      <c r="P69" s="3" t="s">
        <v>2676</v>
      </c>
      <c r="Q69" s="3" t="s">
        <v>2677</v>
      </c>
      <c r="R69" s="3" t="s">
        <v>2678</v>
      </c>
      <c r="S69" s="3" t="s">
        <v>2516</v>
      </c>
      <c r="T69" s="3" t="s">
        <v>2679</v>
      </c>
      <c r="U69" s="3" t="s">
        <v>1738</v>
      </c>
      <c r="V69" s="3" t="s">
        <v>2680</v>
      </c>
      <c r="W69" s="3" t="s">
        <v>2681</v>
      </c>
      <c r="X69" s="3" t="s">
        <v>2682</v>
      </c>
      <c r="Y69" s="3" t="s">
        <v>969</v>
      </c>
      <c r="Z69" s="3" t="s">
        <v>2683</v>
      </c>
      <c r="AA69" s="3" t="s">
        <v>971</v>
      </c>
      <c r="AB69" s="4"/>
      <c r="AC69" s="3" t="s">
        <v>2684</v>
      </c>
      <c r="AD69" s="3" t="s">
        <v>2685</v>
      </c>
      <c r="AE69" s="3" t="s">
        <v>2686</v>
      </c>
      <c r="AF69" s="3" t="s">
        <v>2687</v>
      </c>
      <c r="AG69" s="3" t="s">
        <v>2688</v>
      </c>
      <c r="AH69" s="3" t="s">
        <v>969</v>
      </c>
      <c r="AI69" s="4"/>
      <c r="AJ69" s="3" t="s">
        <v>966</v>
      </c>
      <c r="AK69" s="4"/>
      <c r="AL69" s="3" t="s">
        <v>2689</v>
      </c>
      <c r="AM69" s="3" t="s">
        <v>2690</v>
      </c>
      <c r="AN69" s="3" t="s">
        <v>2691</v>
      </c>
      <c r="AO69" s="3" t="s">
        <v>2692</v>
      </c>
      <c r="AP69" s="3" t="s">
        <v>2693</v>
      </c>
      <c r="AQ69" s="3" t="s">
        <v>2694</v>
      </c>
      <c r="AR69" s="3" t="s">
        <v>2695</v>
      </c>
      <c r="AS69" s="3" t="s">
        <v>969</v>
      </c>
      <c r="AT69" s="3" t="s">
        <v>969</v>
      </c>
      <c r="AU69" s="3" t="s">
        <v>1039</v>
      </c>
      <c r="AV69" s="3" t="s">
        <v>2696</v>
      </c>
      <c r="AW69" s="3" t="s">
        <v>2697</v>
      </c>
      <c r="AX69" s="3" t="s">
        <v>969</v>
      </c>
      <c r="AY69" s="27">
        <v>15.99</v>
      </c>
      <c r="AZ69" s="5" t="s">
        <v>24</v>
      </c>
      <c r="BA69" s="5" t="s">
        <v>22</v>
      </c>
    </row>
    <row r="70" ht="15.75" customHeight="1">
      <c r="A70" s="24"/>
      <c r="B70" s="24">
        <v>49.0</v>
      </c>
      <c r="C70" s="5" t="s">
        <v>69</v>
      </c>
      <c r="D70" s="3" t="s">
        <v>953</v>
      </c>
      <c r="E70" s="25">
        <v>46191.83958333333</v>
      </c>
      <c r="F70" s="3" t="s">
        <v>70</v>
      </c>
      <c r="G70" s="3" t="s">
        <v>70</v>
      </c>
      <c r="H70" s="3" t="s">
        <v>71</v>
      </c>
      <c r="I70" s="3" t="s">
        <v>71</v>
      </c>
      <c r="J70" s="3" t="s">
        <v>2698</v>
      </c>
      <c r="K70" s="3" t="s">
        <v>2179</v>
      </c>
      <c r="L70" s="3" t="s">
        <v>2699</v>
      </c>
      <c r="M70" s="26">
        <v>33145.0</v>
      </c>
      <c r="N70" s="3" t="s">
        <v>2700</v>
      </c>
      <c r="O70" s="3" t="s">
        <v>2699</v>
      </c>
      <c r="P70" s="3" t="s">
        <v>2701</v>
      </c>
      <c r="Q70" s="3" t="s">
        <v>2702</v>
      </c>
      <c r="R70" s="4"/>
      <c r="S70" s="3" t="s">
        <v>2703</v>
      </c>
      <c r="T70" s="3" t="s">
        <v>2704</v>
      </c>
      <c r="U70" s="3" t="s">
        <v>1370</v>
      </c>
      <c r="V70" s="3" t="s">
        <v>2705</v>
      </c>
      <c r="W70" s="3" t="s">
        <v>2706</v>
      </c>
      <c r="X70" s="3" t="s">
        <v>2707</v>
      </c>
      <c r="Y70" s="3" t="s">
        <v>969</v>
      </c>
      <c r="Z70" s="4"/>
      <c r="AA70" s="3" t="s">
        <v>971</v>
      </c>
      <c r="AB70" s="4"/>
      <c r="AC70" s="4"/>
      <c r="AD70" s="3" t="s">
        <v>2708</v>
      </c>
      <c r="AE70" s="3" t="s">
        <v>2709</v>
      </c>
      <c r="AF70" s="3" t="s">
        <v>2710</v>
      </c>
      <c r="AG70" s="3" t="s">
        <v>2711</v>
      </c>
      <c r="AH70" s="3" t="s">
        <v>969</v>
      </c>
      <c r="AI70" s="3" t="s">
        <v>2712</v>
      </c>
      <c r="AJ70" s="4"/>
      <c r="AK70" s="4"/>
      <c r="AL70" s="3" t="s">
        <v>2713</v>
      </c>
      <c r="AM70" s="3" t="s">
        <v>2714</v>
      </c>
      <c r="AN70" s="3" t="s">
        <v>2715</v>
      </c>
      <c r="AO70" s="3" t="s">
        <v>2716</v>
      </c>
      <c r="AP70" s="3" t="s">
        <v>2717</v>
      </c>
      <c r="AQ70" s="3" t="s">
        <v>2718</v>
      </c>
      <c r="AR70" s="3" t="s">
        <v>2719</v>
      </c>
      <c r="AS70" s="3" t="s">
        <v>969</v>
      </c>
      <c r="AT70" s="3" t="s">
        <v>969</v>
      </c>
      <c r="AU70" s="3" t="s">
        <v>1260</v>
      </c>
      <c r="AV70" s="3" t="s">
        <v>2720</v>
      </c>
      <c r="AW70" s="3" t="s">
        <v>2721</v>
      </c>
      <c r="AX70" s="3" t="s">
        <v>969</v>
      </c>
      <c r="AY70" s="27">
        <v>15.99</v>
      </c>
      <c r="AZ70" s="5" t="s">
        <v>69</v>
      </c>
      <c r="BA70" s="5" t="s">
        <v>7</v>
      </c>
    </row>
    <row r="71" ht="15.75" customHeight="1">
      <c r="A71" s="24"/>
      <c r="B71" s="24">
        <v>46.0</v>
      </c>
      <c r="C71" s="5" t="s">
        <v>24</v>
      </c>
      <c r="D71" s="3" t="s">
        <v>953</v>
      </c>
      <c r="E71" s="25">
        <v>46190.0125</v>
      </c>
      <c r="F71" s="3" t="s">
        <v>67</v>
      </c>
      <c r="G71" s="3" t="s">
        <v>67</v>
      </c>
      <c r="H71" s="3" t="s">
        <v>806</v>
      </c>
      <c r="I71" s="3" t="s">
        <v>2722</v>
      </c>
      <c r="J71" s="3" t="s">
        <v>2723</v>
      </c>
      <c r="K71" s="3" t="s">
        <v>2724</v>
      </c>
      <c r="L71" s="3" t="s">
        <v>2725</v>
      </c>
      <c r="M71" s="26">
        <v>37969.0</v>
      </c>
      <c r="N71" s="3" t="s">
        <v>2726</v>
      </c>
      <c r="O71" s="3" t="s">
        <v>2727</v>
      </c>
      <c r="P71" s="4"/>
      <c r="Q71" s="4"/>
      <c r="R71" s="3" t="s">
        <v>2728</v>
      </c>
      <c r="S71" s="3" t="s">
        <v>2729</v>
      </c>
      <c r="T71" s="3" t="s">
        <v>2328</v>
      </c>
      <c r="U71" s="3" t="s">
        <v>2730</v>
      </c>
      <c r="V71" s="3" t="s">
        <v>2730</v>
      </c>
      <c r="W71" s="3" t="s">
        <v>2731</v>
      </c>
      <c r="X71" s="3" t="s">
        <v>2732</v>
      </c>
      <c r="Y71" s="3" t="s">
        <v>971</v>
      </c>
      <c r="Z71" s="4"/>
      <c r="AA71" s="3" t="s">
        <v>971</v>
      </c>
      <c r="AB71" s="4"/>
      <c r="AC71" s="4"/>
      <c r="AD71" s="3" t="s">
        <v>2733</v>
      </c>
      <c r="AE71" s="4"/>
      <c r="AF71" s="4"/>
      <c r="AG71" s="4"/>
      <c r="AH71" s="3" t="s">
        <v>971</v>
      </c>
      <c r="AI71" s="4"/>
      <c r="AJ71" s="4"/>
      <c r="AK71" s="4"/>
      <c r="AL71" s="4"/>
      <c r="AM71" s="3" t="s">
        <v>2734</v>
      </c>
      <c r="AN71" s="3" t="s">
        <v>2735</v>
      </c>
      <c r="AO71" s="3" t="s">
        <v>2736</v>
      </c>
      <c r="AP71" s="3" t="s">
        <v>2737</v>
      </c>
      <c r="AQ71" s="3" t="s">
        <v>2738</v>
      </c>
      <c r="AR71" s="3" t="s">
        <v>2739</v>
      </c>
      <c r="AS71" s="3" t="s">
        <v>969</v>
      </c>
      <c r="AT71" s="3" t="s">
        <v>969</v>
      </c>
      <c r="AU71" s="3" t="s">
        <v>1039</v>
      </c>
      <c r="AV71" s="3" t="s">
        <v>2740</v>
      </c>
      <c r="AW71" s="4"/>
      <c r="AX71" s="3" t="s">
        <v>969</v>
      </c>
      <c r="AY71" s="27">
        <v>15.99</v>
      </c>
      <c r="AZ71" s="5" t="s">
        <v>24</v>
      </c>
      <c r="BA71" s="5" t="s">
        <v>22</v>
      </c>
    </row>
    <row r="72" ht="15.75" customHeight="1">
      <c r="A72" s="24"/>
      <c r="B72" s="24">
        <v>34.0</v>
      </c>
      <c r="C72" s="5" t="s">
        <v>24</v>
      </c>
      <c r="D72" s="3" t="s">
        <v>953</v>
      </c>
      <c r="E72" s="25">
        <v>46186.96527777778</v>
      </c>
      <c r="F72" s="3" t="s">
        <v>2741</v>
      </c>
      <c r="G72" s="3" t="s">
        <v>51</v>
      </c>
      <c r="H72" s="3" t="s">
        <v>52</v>
      </c>
      <c r="I72" s="3" t="s">
        <v>2742</v>
      </c>
      <c r="J72" s="3" t="s">
        <v>2743</v>
      </c>
      <c r="K72" s="3" t="s">
        <v>2744</v>
      </c>
      <c r="L72" s="3" t="s">
        <v>2745</v>
      </c>
      <c r="M72" s="26">
        <v>35413.0</v>
      </c>
      <c r="N72" s="3" t="s">
        <v>2746</v>
      </c>
      <c r="O72" s="3" t="s">
        <v>2745</v>
      </c>
      <c r="P72" s="3" t="s">
        <v>2747</v>
      </c>
      <c r="Q72" s="3" t="s">
        <v>2748</v>
      </c>
      <c r="R72" s="4"/>
      <c r="S72" s="3" t="s">
        <v>2606</v>
      </c>
      <c r="T72" s="3" t="s">
        <v>2749</v>
      </c>
      <c r="U72" s="3" t="s">
        <v>2750</v>
      </c>
      <c r="V72" s="3" t="s">
        <v>1125</v>
      </c>
      <c r="W72" s="3" t="s">
        <v>2751</v>
      </c>
      <c r="X72" s="3" t="s">
        <v>2752</v>
      </c>
      <c r="Y72" s="3" t="s">
        <v>969</v>
      </c>
      <c r="Z72" s="3" t="s">
        <v>2753</v>
      </c>
      <c r="AA72" s="3" t="s">
        <v>969</v>
      </c>
      <c r="AB72" s="3" t="s">
        <v>2754</v>
      </c>
      <c r="AC72" s="3" t="s">
        <v>2755</v>
      </c>
      <c r="AD72" s="3" t="s">
        <v>2756</v>
      </c>
      <c r="AE72" s="3" t="s">
        <v>2757</v>
      </c>
      <c r="AF72" s="3" t="s">
        <v>2758</v>
      </c>
      <c r="AG72" s="3" t="s">
        <v>1878</v>
      </c>
      <c r="AH72" s="3" t="s">
        <v>969</v>
      </c>
      <c r="AI72" s="3" t="s">
        <v>2759</v>
      </c>
      <c r="AJ72" s="3" t="s">
        <v>2755</v>
      </c>
      <c r="AK72" s="4"/>
      <c r="AL72" s="3" t="s">
        <v>2760</v>
      </c>
      <c r="AM72" s="3" t="s">
        <v>2761</v>
      </c>
      <c r="AN72" s="3" t="s">
        <v>2762</v>
      </c>
      <c r="AO72" s="3" t="s">
        <v>2763</v>
      </c>
      <c r="AP72" s="3" t="s">
        <v>2764</v>
      </c>
      <c r="AQ72" s="3" t="s">
        <v>2765</v>
      </c>
      <c r="AR72" s="3" t="s">
        <v>2766</v>
      </c>
      <c r="AS72" s="3" t="s">
        <v>969</v>
      </c>
      <c r="AT72" s="3" t="s">
        <v>969</v>
      </c>
      <c r="AU72" s="3" t="s">
        <v>1039</v>
      </c>
      <c r="AV72" s="3" t="s">
        <v>916</v>
      </c>
      <c r="AW72" s="3" t="s">
        <v>1039</v>
      </c>
      <c r="AX72" s="3" t="s">
        <v>969</v>
      </c>
      <c r="AY72" s="27">
        <v>15.99</v>
      </c>
      <c r="AZ72" s="5" t="s">
        <v>24</v>
      </c>
      <c r="BA72" s="5" t="s">
        <v>7</v>
      </c>
    </row>
    <row r="73" ht="15.75" customHeight="1">
      <c r="A73" s="24"/>
      <c r="B73" s="24">
        <v>33.0</v>
      </c>
      <c r="C73" s="5" t="s">
        <v>24</v>
      </c>
      <c r="D73" s="3" t="s">
        <v>953</v>
      </c>
      <c r="E73" s="25">
        <v>46186.87847222222</v>
      </c>
      <c r="F73" s="3" t="s">
        <v>2767</v>
      </c>
      <c r="G73" s="3" t="s">
        <v>2767</v>
      </c>
      <c r="H73" s="3" t="s">
        <v>763</v>
      </c>
      <c r="I73" s="3" t="s">
        <v>763</v>
      </c>
      <c r="J73" s="3" t="s">
        <v>2768</v>
      </c>
      <c r="K73" s="3" t="s">
        <v>1042</v>
      </c>
      <c r="L73" s="3" t="s">
        <v>2769</v>
      </c>
      <c r="M73" s="26">
        <v>34549.0</v>
      </c>
      <c r="N73" s="3" t="s">
        <v>2770</v>
      </c>
      <c r="O73" s="3" t="s">
        <v>2771</v>
      </c>
      <c r="P73" s="4"/>
      <c r="Q73" s="4"/>
      <c r="R73" s="4"/>
      <c r="S73" s="3" t="s">
        <v>2772</v>
      </c>
      <c r="T73" s="3" t="s">
        <v>2773</v>
      </c>
      <c r="U73" s="3" t="s">
        <v>2774</v>
      </c>
      <c r="V73" s="3" t="s">
        <v>1185</v>
      </c>
      <c r="W73" s="4"/>
      <c r="X73" s="3" t="s">
        <v>2775</v>
      </c>
      <c r="Y73" s="3" t="s">
        <v>969</v>
      </c>
      <c r="Z73" s="3" t="s">
        <v>1054</v>
      </c>
      <c r="AA73" s="3" t="s">
        <v>971</v>
      </c>
      <c r="AB73" s="3" t="s">
        <v>2775</v>
      </c>
      <c r="AC73" s="3" t="s">
        <v>2776</v>
      </c>
      <c r="AD73" s="3" t="s">
        <v>2777</v>
      </c>
      <c r="AE73" s="3" t="s">
        <v>2778</v>
      </c>
      <c r="AF73" s="3" t="s">
        <v>2779</v>
      </c>
      <c r="AG73" s="3" t="s">
        <v>2780</v>
      </c>
      <c r="AH73" s="3" t="s">
        <v>969</v>
      </c>
      <c r="AI73" s="3" t="s">
        <v>2781</v>
      </c>
      <c r="AJ73" s="3" t="s">
        <v>2782</v>
      </c>
      <c r="AK73" s="3" t="s">
        <v>2783</v>
      </c>
      <c r="AL73" s="3" t="s">
        <v>2784</v>
      </c>
      <c r="AM73" s="3" t="s">
        <v>2785</v>
      </c>
      <c r="AN73" s="3" t="s">
        <v>2786</v>
      </c>
      <c r="AO73" s="3" t="s">
        <v>2787</v>
      </c>
      <c r="AP73" s="3" t="s">
        <v>2788</v>
      </c>
      <c r="AQ73" s="3" t="s">
        <v>2789</v>
      </c>
      <c r="AR73" s="3" t="s">
        <v>2790</v>
      </c>
      <c r="AS73" s="3" t="s">
        <v>969</v>
      </c>
      <c r="AT73" s="3" t="s">
        <v>969</v>
      </c>
      <c r="AU73" s="3" t="s">
        <v>981</v>
      </c>
      <c r="AV73" s="3" t="s">
        <v>1287</v>
      </c>
      <c r="AW73" s="4"/>
      <c r="AX73" s="3" t="s">
        <v>969</v>
      </c>
      <c r="AY73" s="27">
        <v>15.99</v>
      </c>
      <c r="AZ73" s="5" t="s">
        <v>24</v>
      </c>
      <c r="BA73" s="5" t="s">
        <v>22</v>
      </c>
    </row>
    <row r="74" ht="15.75" customHeight="1">
      <c r="A74" s="24"/>
      <c r="B74" s="24">
        <v>32.0</v>
      </c>
      <c r="C74" s="5" t="s">
        <v>24</v>
      </c>
      <c r="D74" s="3" t="s">
        <v>953</v>
      </c>
      <c r="E74" s="25">
        <v>46186.82708333333</v>
      </c>
      <c r="F74" s="3" t="s">
        <v>47</v>
      </c>
      <c r="G74" s="3" t="s">
        <v>47</v>
      </c>
      <c r="H74" s="3" t="s">
        <v>739</v>
      </c>
      <c r="I74" s="3" t="s">
        <v>2791</v>
      </c>
      <c r="J74" s="3" t="s">
        <v>2792</v>
      </c>
      <c r="K74" s="3" t="s">
        <v>1943</v>
      </c>
      <c r="L74" s="3" t="s">
        <v>2793</v>
      </c>
      <c r="M74" s="26">
        <v>36560.0</v>
      </c>
      <c r="N74" s="3" t="s">
        <v>2794</v>
      </c>
      <c r="O74" s="3" t="s">
        <v>2795</v>
      </c>
      <c r="P74" s="3" t="s">
        <v>2796</v>
      </c>
      <c r="Q74" s="4"/>
      <c r="R74" s="4"/>
      <c r="S74" s="3" t="s">
        <v>2797</v>
      </c>
      <c r="T74" s="3" t="s">
        <v>2798</v>
      </c>
      <c r="U74" s="3" t="s">
        <v>1370</v>
      </c>
      <c r="V74" s="3" t="s">
        <v>1896</v>
      </c>
      <c r="W74" s="3" t="s">
        <v>2799</v>
      </c>
      <c r="X74" s="3" t="s">
        <v>2800</v>
      </c>
      <c r="Y74" s="3" t="s">
        <v>971</v>
      </c>
      <c r="Z74" s="3" t="s">
        <v>1928</v>
      </c>
      <c r="AA74" s="3" t="s">
        <v>971</v>
      </c>
      <c r="AB74" s="4"/>
      <c r="AC74" s="4"/>
      <c r="AD74" s="3" t="s">
        <v>2801</v>
      </c>
      <c r="AE74" s="3" t="s">
        <v>2802</v>
      </c>
      <c r="AF74" s="3" t="s">
        <v>2803</v>
      </c>
      <c r="AG74" s="3" t="s">
        <v>2804</v>
      </c>
      <c r="AH74" s="3" t="s">
        <v>971</v>
      </c>
      <c r="AI74" s="4"/>
      <c r="AJ74" s="4"/>
      <c r="AK74" s="4"/>
      <c r="AL74" s="4"/>
      <c r="AM74" s="3" t="s">
        <v>2805</v>
      </c>
      <c r="AN74" s="3" t="s">
        <v>2806</v>
      </c>
      <c r="AO74" s="3" t="s">
        <v>2807</v>
      </c>
      <c r="AP74" s="3" t="s">
        <v>2808</v>
      </c>
      <c r="AQ74" s="3" t="s">
        <v>2809</v>
      </c>
      <c r="AR74" s="3" t="s">
        <v>2810</v>
      </c>
      <c r="AS74" s="3" t="s">
        <v>969</v>
      </c>
      <c r="AT74" s="3" t="s">
        <v>969</v>
      </c>
      <c r="AU74" s="3" t="s">
        <v>1039</v>
      </c>
      <c r="AV74" s="3" t="s">
        <v>2174</v>
      </c>
      <c r="AW74" s="3" t="s">
        <v>1596</v>
      </c>
      <c r="AX74" s="3" t="s">
        <v>969</v>
      </c>
      <c r="AY74" s="27">
        <v>15.99</v>
      </c>
      <c r="AZ74" s="5" t="s">
        <v>24</v>
      </c>
      <c r="BA74" s="5" t="s">
        <v>22</v>
      </c>
    </row>
    <row r="75" ht="15.75" customHeight="1">
      <c r="A75" s="24"/>
      <c r="B75" s="24">
        <v>25.0</v>
      </c>
      <c r="C75" s="5" t="s">
        <v>24</v>
      </c>
      <c r="D75" s="3" t="s">
        <v>953</v>
      </c>
      <c r="E75" s="25">
        <v>46181.89097222222</v>
      </c>
      <c r="F75" s="3" t="s">
        <v>37</v>
      </c>
      <c r="G75" s="3" t="s">
        <v>37</v>
      </c>
      <c r="H75" s="3" t="s">
        <v>710</v>
      </c>
      <c r="I75" s="3" t="s">
        <v>2811</v>
      </c>
      <c r="J75" s="3" t="s">
        <v>2812</v>
      </c>
      <c r="K75" s="3" t="s">
        <v>2813</v>
      </c>
      <c r="L75" s="3" t="s">
        <v>2814</v>
      </c>
      <c r="M75" s="26">
        <v>33197.0</v>
      </c>
      <c r="N75" s="3" t="s">
        <v>2815</v>
      </c>
      <c r="O75" s="3" t="s">
        <v>2816</v>
      </c>
      <c r="P75" s="3" t="s">
        <v>2817</v>
      </c>
      <c r="Q75" s="4"/>
      <c r="R75" s="3" t="s">
        <v>2818</v>
      </c>
      <c r="S75" s="3" t="s">
        <v>2819</v>
      </c>
      <c r="T75" s="3" t="s">
        <v>2820</v>
      </c>
      <c r="U75" s="3" t="s">
        <v>2821</v>
      </c>
      <c r="V75" s="3" t="s">
        <v>2822</v>
      </c>
      <c r="W75" s="3" t="s">
        <v>2822</v>
      </c>
      <c r="X75" s="3" t="s">
        <v>2823</v>
      </c>
      <c r="Y75" s="3" t="s">
        <v>971</v>
      </c>
      <c r="Z75" s="3" t="s">
        <v>2824</v>
      </c>
      <c r="AA75" s="3" t="s">
        <v>971</v>
      </c>
      <c r="AB75" s="4"/>
      <c r="AC75" s="3" t="s">
        <v>969</v>
      </c>
      <c r="AD75" s="3" t="s">
        <v>2825</v>
      </c>
      <c r="AE75" s="4"/>
      <c r="AF75" s="3" t="s">
        <v>2826</v>
      </c>
      <c r="AG75" s="3" t="s">
        <v>2827</v>
      </c>
      <c r="AH75" s="3" t="s">
        <v>969</v>
      </c>
      <c r="AI75" s="3" t="s">
        <v>2828</v>
      </c>
      <c r="AJ75" s="3" t="s">
        <v>971</v>
      </c>
      <c r="AK75" s="4"/>
      <c r="AL75" s="3" t="s">
        <v>2829</v>
      </c>
      <c r="AM75" s="3" t="s">
        <v>2830</v>
      </c>
      <c r="AN75" s="3" t="s">
        <v>2831</v>
      </c>
      <c r="AO75" s="3" t="s">
        <v>2832</v>
      </c>
      <c r="AP75" s="3" t="s">
        <v>2833</v>
      </c>
      <c r="AQ75" s="3" t="s">
        <v>2834</v>
      </c>
      <c r="AR75" s="3" t="s">
        <v>2835</v>
      </c>
      <c r="AS75" s="3" t="s">
        <v>969</v>
      </c>
      <c r="AT75" s="3" t="s">
        <v>969</v>
      </c>
      <c r="AU75" s="3" t="s">
        <v>1409</v>
      </c>
      <c r="AV75" s="3" t="s">
        <v>2836</v>
      </c>
      <c r="AW75" s="3" t="s">
        <v>2837</v>
      </c>
      <c r="AX75" s="3" t="s">
        <v>969</v>
      </c>
      <c r="AY75" s="27">
        <v>15.99</v>
      </c>
      <c r="AZ75" s="5" t="s">
        <v>24</v>
      </c>
      <c r="BA75" s="5" t="s">
        <v>22</v>
      </c>
    </row>
    <row r="76" ht="15.75" customHeight="1">
      <c r="A76" s="24"/>
      <c r="B76" s="24">
        <v>17.0</v>
      </c>
      <c r="C76" s="5" t="s">
        <v>24</v>
      </c>
      <c r="D76" s="3" t="s">
        <v>953</v>
      </c>
      <c r="E76" s="25">
        <v>46174.84861111111</v>
      </c>
      <c r="F76" s="3" t="s">
        <v>2838</v>
      </c>
      <c r="G76" s="3" t="s">
        <v>2839</v>
      </c>
      <c r="H76" s="3" t="s">
        <v>743</v>
      </c>
      <c r="I76" s="3" t="s">
        <v>2840</v>
      </c>
      <c r="J76" s="3" t="s">
        <v>2841</v>
      </c>
      <c r="K76" s="3" t="s">
        <v>1864</v>
      </c>
      <c r="L76" s="3" t="s">
        <v>2842</v>
      </c>
      <c r="M76" s="26">
        <v>35073.0</v>
      </c>
      <c r="N76" s="3" t="s">
        <v>2843</v>
      </c>
      <c r="O76" s="3" t="s">
        <v>2844</v>
      </c>
      <c r="P76" s="3" t="s">
        <v>2845</v>
      </c>
      <c r="Q76" s="3" t="s">
        <v>2846</v>
      </c>
      <c r="R76" s="3" t="s">
        <v>2847</v>
      </c>
      <c r="S76" s="3" t="s">
        <v>2848</v>
      </c>
      <c r="T76" s="3" t="s">
        <v>2849</v>
      </c>
      <c r="U76" s="3" t="s">
        <v>1271</v>
      </c>
      <c r="V76" s="3" t="s">
        <v>2850</v>
      </c>
      <c r="W76" s="3" t="s">
        <v>2822</v>
      </c>
      <c r="X76" s="3" t="s">
        <v>2851</v>
      </c>
      <c r="Y76" s="3" t="s">
        <v>971</v>
      </c>
      <c r="Z76" s="3" t="s">
        <v>1874</v>
      </c>
      <c r="AA76" s="3" t="s">
        <v>971</v>
      </c>
      <c r="AB76" s="4"/>
      <c r="AC76" s="3" t="s">
        <v>969</v>
      </c>
      <c r="AD76" s="3" t="s">
        <v>2852</v>
      </c>
      <c r="AE76" s="4"/>
      <c r="AF76" s="3" t="s">
        <v>1250</v>
      </c>
      <c r="AG76" s="3" t="s">
        <v>2853</v>
      </c>
      <c r="AH76" s="3" t="s">
        <v>971</v>
      </c>
      <c r="AI76" s="3" t="s">
        <v>2854</v>
      </c>
      <c r="AJ76" s="3" t="s">
        <v>2855</v>
      </c>
      <c r="AK76" s="3" t="s">
        <v>2856</v>
      </c>
      <c r="AL76" s="3" t="s">
        <v>2857</v>
      </c>
      <c r="AM76" s="3" t="s">
        <v>2858</v>
      </c>
      <c r="AN76" s="3" t="s">
        <v>2859</v>
      </c>
      <c r="AO76" s="3" t="s">
        <v>2860</v>
      </c>
      <c r="AP76" s="3" t="s">
        <v>2861</v>
      </c>
      <c r="AQ76" s="3" t="s">
        <v>2862</v>
      </c>
      <c r="AR76" s="3" t="s">
        <v>2863</v>
      </c>
      <c r="AS76" s="3" t="s">
        <v>969</v>
      </c>
      <c r="AT76" s="3" t="s">
        <v>969</v>
      </c>
      <c r="AU76" s="3" t="s">
        <v>1039</v>
      </c>
      <c r="AV76" s="3" t="s">
        <v>2217</v>
      </c>
      <c r="AW76" s="3" t="s">
        <v>2864</v>
      </c>
      <c r="AX76" s="3" t="s">
        <v>969</v>
      </c>
      <c r="AY76" s="27">
        <v>15.99</v>
      </c>
      <c r="AZ76" s="5" t="s">
        <v>24</v>
      </c>
      <c r="BA76" s="5" t="s">
        <v>22</v>
      </c>
    </row>
    <row r="77" ht="15.75" customHeight="1">
      <c r="A77" s="24"/>
      <c r="B77" s="24">
        <v>149.0</v>
      </c>
      <c r="C77" s="5" t="s">
        <v>24</v>
      </c>
      <c r="D77" s="3" t="s">
        <v>953</v>
      </c>
      <c r="E77" s="25">
        <v>46208.91944444444</v>
      </c>
      <c r="F77" s="3" t="s">
        <v>2865</v>
      </c>
      <c r="G77" s="3" t="s">
        <v>2865</v>
      </c>
      <c r="H77" s="3" t="s">
        <v>274</v>
      </c>
      <c r="I77" s="3" t="s">
        <v>2866</v>
      </c>
      <c r="J77" s="3" t="s">
        <v>2867</v>
      </c>
      <c r="K77" s="3" t="s">
        <v>2868</v>
      </c>
      <c r="L77" s="3" t="s">
        <v>2869</v>
      </c>
      <c r="M77" s="26">
        <v>32201.0</v>
      </c>
      <c r="N77" s="3" t="s">
        <v>2870</v>
      </c>
      <c r="O77" s="3" t="s">
        <v>2871</v>
      </c>
      <c r="P77" s="4"/>
      <c r="Q77" s="4"/>
      <c r="R77" s="4"/>
      <c r="S77" s="3" t="s">
        <v>2872</v>
      </c>
      <c r="T77" s="3" t="s">
        <v>2873</v>
      </c>
      <c r="U77" s="3" t="s">
        <v>2874</v>
      </c>
      <c r="V77" s="3" t="s">
        <v>2875</v>
      </c>
      <c r="W77" s="3" t="s">
        <v>2876</v>
      </c>
      <c r="X77" s="3" t="s">
        <v>2877</v>
      </c>
      <c r="Y77" s="3" t="s">
        <v>971</v>
      </c>
      <c r="Z77" s="3" t="s">
        <v>2868</v>
      </c>
      <c r="AA77" s="3" t="s">
        <v>971</v>
      </c>
      <c r="AB77" s="4"/>
      <c r="AC77" s="4"/>
      <c r="AD77" s="3" t="s">
        <v>2878</v>
      </c>
      <c r="AE77" s="4"/>
      <c r="AF77" s="3" t="s">
        <v>2879</v>
      </c>
      <c r="AG77" s="4"/>
      <c r="AH77" s="3" t="s">
        <v>971</v>
      </c>
      <c r="AI77" s="4"/>
      <c r="AJ77" s="3" t="s">
        <v>2880</v>
      </c>
      <c r="AK77" s="3" t="s">
        <v>2881</v>
      </c>
      <c r="AL77" s="3" t="s">
        <v>2882</v>
      </c>
      <c r="AM77" s="3" t="s">
        <v>2883</v>
      </c>
      <c r="AN77" s="3" t="s">
        <v>2884</v>
      </c>
      <c r="AO77" s="3" t="s">
        <v>2885</v>
      </c>
      <c r="AP77" s="3" t="s">
        <v>2886</v>
      </c>
      <c r="AQ77" s="3" t="s">
        <v>2887</v>
      </c>
      <c r="AR77" s="3" t="s">
        <v>2888</v>
      </c>
      <c r="AS77" s="3" t="s">
        <v>969</v>
      </c>
      <c r="AT77" s="3" t="s">
        <v>969</v>
      </c>
      <c r="AU77" s="3" t="s">
        <v>1039</v>
      </c>
      <c r="AV77" s="3" t="s">
        <v>2889</v>
      </c>
      <c r="AW77" s="3" t="s">
        <v>1288</v>
      </c>
      <c r="AX77" s="3" t="s">
        <v>969</v>
      </c>
      <c r="AY77" s="27">
        <v>15.99</v>
      </c>
      <c r="AZ77" s="5" t="s">
        <v>137</v>
      </c>
      <c r="BA77" s="5" t="s">
        <v>7</v>
      </c>
    </row>
    <row r="78" ht="15.75" customHeight="1">
      <c r="A78" s="24"/>
      <c r="B78" s="24">
        <v>136.0</v>
      </c>
      <c r="C78" s="5" t="s">
        <v>24</v>
      </c>
      <c r="D78" s="3" t="s">
        <v>953</v>
      </c>
      <c r="E78" s="25">
        <v>46208.82222222222</v>
      </c>
      <c r="F78" s="3" t="s">
        <v>2890</v>
      </c>
      <c r="G78" s="3" t="s">
        <v>2891</v>
      </c>
      <c r="H78" s="3" t="s">
        <v>458</v>
      </c>
      <c r="I78" s="3" t="s">
        <v>2892</v>
      </c>
      <c r="J78" s="3" t="s">
        <v>2893</v>
      </c>
      <c r="K78" s="3" t="s">
        <v>2332</v>
      </c>
      <c r="L78" s="3" t="s">
        <v>2894</v>
      </c>
      <c r="M78" s="26">
        <v>39109.0</v>
      </c>
      <c r="N78" s="3" t="s">
        <v>2895</v>
      </c>
      <c r="O78" s="3" t="s">
        <v>2896</v>
      </c>
      <c r="P78" s="4"/>
      <c r="Q78" s="3" t="s">
        <v>2897</v>
      </c>
      <c r="R78" s="4"/>
      <c r="S78" s="3" t="s">
        <v>2898</v>
      </c>
      <c r="T78" s="3" t="s">
        <v>2899</v>
      </c>
      <c r="U78" s="3" t="s">
        <v>1124</v>
      </c>
      <c r="V78" s="3" t="s">
        <v>2900</v>
      </c>
      <c r="W78" s="3" t="s">
        <v>2901</v>
      </c>
      <c r="X78" s="3" t="s">
        <v>2902</v>
      </c>
      <c r="Y78" s="3" t="s">
        <v>969</v>
      </c>
      <c r="Z78" s="3" t="s">
        <v>2903</v>
      </c>
      <c r="AA78" s="3" t="s">
        <v>971</v>
      </c>
      <c r="AB78" s="4"/>
      <c r="AC78" s="3" t="s">
        <v>2904</v>
      </c>
      <c r="AD78" s="3" t="s">
        <v>2905</v>
      </c>
      <c r="AE78" s="3" t="s">
        <v>2906</v>
      </c>
      <c r="AF78" s="3" t="s">
        <v>2907</v>
      </c>
      <c r="AG78" s="3" t="s">
        <v>2908</v>
      </c>
      <c r="AH78" s="3" t="s">
        <v>971</v>
      </c>
      <c r="AI78" s="4"/>
      <c r="AJ78" s="4"/>
      <c r="AK78" s="4"/>
      <c r="AL78" s="3" t="s">
        <v>2909</v>
      </c>
      <c r="AM78" s="3" t="s">
        <v>2910</v>
      </c>
      <c r="AN78" s="3" t="s">
        <v>2911</v>
      </c>
      <c r="AO78" s="3" t="s">
        <v>2912</v>
      </c>
      <c r="AP78" s="3" t="s">
        <v>2913</v>
      </c>
      <c r="AQ78" s="3" t="s">
        <v>2914</v>
      </c>
      <c r="AR78" s="3" t="s">
        <v>2915</v>
      </c>
      <c r="AS78" s="3" t="s">
        <v>969</v>
      </c>
      <c r="AT78" s="3" t="s">
        <v>969</v>
      </c>
      <c r="AU78" s="3" t="s">
        <v>1039</v>
      </c>
      <c r="AV78" s="3" t="s">
        <v>1498</v>
      </c>
      <c r="AW78" s="3" t="s">
        <v>2916</v>
      </c>
      <c r="AX78" s="3" t="s">
        <v>969</v>
      </c>
      <c r="AY78" s="27">
        <v>15.99</v>
      </c>
      <c r="AZ78" s="5" t="s">
        <v>137</v>
      </c>
      <c r="BA78" s="5" t="s">
        <v>22</v>
      </c>
    </row>
    <row r="79" ht="15.75" customHeight="1">
      <c r="A79" s="24"/>
      <c r="B79" s="24">
        <v>115.0</v>
      </c>
      <c r="C79" s="5" t="s">
        <v>24</v>
      </c>
      <c r="D79" s="3" t="s">
        <v>953</v>
      </c>
      <c r="E79" s="25">
        <v>46207.94861111111</v>
      </c>
      <c r="F79" s="3" t="s">
        <v>195</v>
      </c>
      <c r="G79" s="3" t="s">
        <v>195</v>
      </c>
      <c r="H79" s="3" t="s">
        <v>196</v>
      </c>
      <c r="I79" s="3" t="s">
        <v>2917</v>
      </c>
      <c r="J79" s="3" t="s">
        <v>2918</v>
      </c>
      <c r="K79" s="3" t="s">
        <v>2919</v>
      </c>
      <c r="L79" s="3" t="s">
        <v>2920</v>
      </c>
      <c r="M79" s="26">
        <v>38983.0</v>
      </c>
      <c r="N79" s="3" t="s">
        <v>2921</v>
      </c>
      <c r="O79" s="3" t="s">
        <v>2922</v>
      </c>
      <c r="P79" s="3" t="s">
        <v>2923</v>
      </c>
      <c r="Q79" s="4"/>
      <c r="R79" s="4"/>
      <c r="S79" s="3" t="s">
        <v>1605</v>
      </c>
      <c r="T79" s="3" t="s">
        <v>2924</v>
      </c>
      <c r="U79" s="3" t="s">
        <v>1050</v>
      </c>
      <c r="V79" s="3" t="s">
        <v>2925</v>
      </c>
      <c r="W79" s="4"/>
      <c r="X79" s="3" t="s">
        <v>2926</v>
      </c>
      <c r="Y79" s="3" t="s">
        <v>969</v>
      </c>
      <c r="Z79" s="3" t="s">
        <v>2927</v>
      </c>
      <c r="AA79" s="3" t="s">
        <v>969</v>
      </c>
      <c r="AB79" s="3" t="s">
        <v>2928</v>
      </c>
      <c r="AC79" s="4"/>
      <c r="AD79" s="3" t="s">
        <v>2929</v>
      </c>
      <c r="AE79" s="3" t="s">
        <v>2930</v>
      </c>
      <c r="AF79" s="3" t="s">
        <v>2931</v>
      </c>
      <c r="AG79" s="3" t="s">
        <v>1133</v>
      </c>
      <c r="AH79" s="3" t="s">
        <v>971</v>
      </c>
      <c r="AI79" s="4"/>
      <c r="AJ79" s="4"/>
      <c r="AK79" s="4"/>
      <c r="AL79" s="3" t="s">
        <v>2932</v>
      </c>
      <c r="AM79" s="3" t="s">
        <v>2933</v>
      </c>
      <c r="AN79" s="3" t="s">
        <v>2934</v>
      </c>
      <c r="AO79" s="3" t="s">
        <v>2935</v>
      </c>
      <c r="AP79" s="3" t="s">
        <v>2936</v>
      </c>
      <c r="AQ79" s="3" t="s">
        <v>2937</v>
      </c>
      <c r="AR79" s="3" t="s">
        <v>2938</v>
      </c>
      <c r="AS79" s="3" t="s">
        <v>969</v>
      </c>
      <c r="AT79" s="3" t="s">
        <v>969</v>
      </c>
      <c r="AU79" s="3" t="s">
        <v>1233</v>
      </c>
      <c r="AV79" s="3" t="s">
        <v>2939</v>
      </c>
      <c r="AW79" s="3" t="s">
        <v>1499</v>
      </c>
      <c r="AX79" s="3" t="s">
        <v>969</v>
      </c>
      <c r="AY79" s="27">
        <v>15.99</v>
      </c>
      <c r="AZ79" s="5" t="s">
        <v>137</v>
      </c>
      <c r="BA79" s="5" t="s">
        <v>7</v>
      </c>
    </row>
    <row r="80" ht="15.75" customHeight="1">
      <c r="A80" s="24"/>
      <c r="B80" s="24">
        <v>83.0</v>
      </c>
      <c r="C80" s="5" t="s">
        <v>24</v>
      </c>
      <c r="D80" s="3" t="s">
        <v>953</v>
      </c>
      <c r="E80" s="25">
        <v>46202.47430555556</v>
      </c>
      <c r="F80" s="3" t="s">
        <v>139</v>
      </c>
      <c r="G80" s="3" t="s">
        <v>2940</v>
      </c>
      <c r="H80" s="3" t="s">
        <v>486</v>
      </c>
      <c r="I80" s="3" t="s">
        <v>2941</v>
      </c>
      <c r="J80" s="3" t="s">
        <v>2942</v>
      </c>
      <c r="K80" s="3" t="s">
        <v>1361</v>
      </c>
      <c r="L80" s="3" t="s">
        <v>2943</v>
      </c>
      <c r="M80" s="26">
        <v>37938.0</v>
      </c>
      <c r="N80" s="3" t="s">
        <v>2944</v>
      </c>
      <c r="O80" s="3" t="s">
        <v>2945</v>
      </c>
      <c r="P80" s="3" t="s">
        <v>139</v>
      </c>
      <c r="Q80" s="3" t="s">
        <v>2946</v>
      </c>
      <c r="R80" s="3" t="s">
        <v>139</v>
      </c>
      <c r="S80" s="3" t="s">
        <v>2947</v>
      </c>
      <c r="T80" s="3" t="s">
        <v>2948</v>
      </c>
      <c r="U80" s="3" t="s">
        <v>1124</v>
      </c>
      <c r="V80" s="3" t="s">
        <v>2949</v>
      </c>
      <c r="W80" s="3" t="s">
        <v>2950</v>
      </c>
      <c r="X80" s="3" t="s">
        <v>2951</v>
      </c>
      <c r="Y80" s="3" t="s">
        <v>969</v>
      </c>
      <c r="Z80" s="4"/>
      <c r="AA80" s="3" t="s">
        <v>971</v>
      </c>
      <c r="AB80" s="4"/>
      <c r="AC80" s="3" t="s">
        <v>969</v>
      </c>
      <c r="AD80" s="3" t="s">
        <v>2952</v>
      </c>
      <c r="AE80" s="3" t="s">
        <v>2953</v>
      </c>
      <c r="AF80" s="3" t="s">
        <v>2954</v>
      </c>
      <c r="AG80" s="3" t="s">
        <v>1030</v>
      </c>
      <c r="AH80" s="3" t="s">
        <v>971</v>
      </c>
      <c r="AI80" s="4"/>
      <c r="AJ80" s="3" t="s">
        <v>971</v>
      </c>
      <c r="AK80" s="4"/>
      <c r="AL80" s="3" t="s">
        <v>2955</v>
      </c>
      <c r="AM80" s="3" t="s">
        <v>2956</v>
      </c>
      <c r="AN80" s="3" t="s">
        <v>2957</v>
      </c>
      <c r="AO80" s="3" t="s">
        <v>2958</v>
      </c>
      <c r="AP80" s="3" t="s">
        <v>2959</v>
      </c>
      <c r="AQ80" s="3" t="s">
        <v>2960</v>
      </c>
      <c r="AR80" s="3" t="s">
        <v>2961</v>
      </c>
      <c r="AS80" s="3" t="s">
        <v>969</v>
      </c>
      <c r="AT80" s="3" t="s">
        <v>969</v>
      </c>
      <c r="AU80" s="3" t="s">
        <v>1233</v>
      </c>
      <c r="AV80" s="3" t="s">
        <v>917</v>
      </c>
      <c r="AW80" s="3" t="s">
        <v>1288</v>
      </c>
      <c r="AX80" s="3" t="s">
        <v>969</v>
      </c>
      <c r="AY80" s="27">
        <v>15.99</v>
      </c>
      <c r="AZ80" s="5" t="s">
        <v>137</v>
      </c>
      <c r="BA80" s="5" t="s">
        <v>22</v>
      </c>
    </row>
    <row r="81" ht="15.75" customHeight="1">
      <c r="A81" s="24"/>
      <c r="B81" s="24">
        <v>69.0</v>
      </c>
      <c r="C81" s="5" t="s">
        <v>110</v>
      </c>
      <c r="D81" s="3" t="s">
        <v>953</v>
      </c>
      <c r="E81" s="25">
        <v>46197.87013888889</v>
      </c>
      <c r="F81" s="3" t="s">
        <v>2962</v>
      </c>
      <c r="G81" s="3" t="s">
        <v>2962</v>
      </c>
      <c r="H81" s="3" t="s">
        <v>550</v>
      </c>
      <c r="I81" s="3" t="s">
        <v>2963</v>
      </c>
      <c r="J81" s="3" t="s">
        <v>2964</v>
      </c>
      <c r="K81" s="3" t="s">
        <v>2965</v>
      </c>
      <c r="L81" s="3" t="s">
        <v>2966</v>
      </c>
      <c r="M81" s="26">
        <v>36586.0</v>
      </c>
      <c r="N81" s="3" t="s">
        <v>2967</v>
      </c>
      <c r="O81" s="3" t="s">
        <v>2968</v>
      </c>
      <c r="P81" s="3" t="s">
        <v>2969</v>
      </c>
      <c r="Q81" s="4"/>
      <c r="R81" s="3" t="s">
        <v>2970</v>
      </c>
      <c r="S81" s="3" t="s">
        <v>1605</v>
      </c>
      <c r="T81" s="3" t="s">
        <v>2971</v>
      </c>
      <c r="U81" s="3" t="s">
        <v>1050</v>
      </c>
      <c r="V81" s="3" t="s">
        <v>2972</v>
      </c>
      <c r="W81" s="3" t="s">
        <v>2973</v>
      </c>
      <c r="X81" s="3" t="s">
        <v>2974</v>
      </c>
      <c r="Y81" s="3" t="s">
        <v>969</v>
      </c>
      <c r="Z81" s="3" t="s">
        <v>2975</v>
      </c>
      <c r="AA81" s="3" t="s">
        <v>969</v>
      </c>
      <c r="AB81" s="3" t="s">
        <v>2976</v>
      </c>
      <c r="AC81" s="3" t="s">
        <v>6</v>
      </c>
      <c r="AD81" s="3" t="s">
        <v>2977</v>
      </c>
      <c r="AE81" s="3" t="s">
        <v>2978</v>
      </c>
      <c r="AF81" s="3" t="s">
        <v>2979</v>
      </c>
      <c r="AG81" s="3" t="s">
        <v>1133</v>
      </c>
      <c r="AH81" s="3" t="s">
        <v>969</v>
      </c>
      <c r="AI81" s="3" t="s">
        <v>2980</v>
      </c>
      <c r="AJ81" s="3" t="s">
        <v>969</v>
      </c>
      <c r="AK81" s="3" t="s">
        <v>2981</v>
      </c>
      <c r="AL81" s="3" t="s">
        <v>2982</v>
      </c>
      <c r="AM81" s="3" t="s">
        <v>2485</v>
      </c>
      <c r="AN81" s="3" t="s">
        <v>2983</v>
      </c>
      <c r="AO81" s="3" t="s">
        <v>2984</v>
      </c>
      <c r="AP81" s="3" t="s">
        <v>2985</v>
      </c>
      <c r="AQ81" s="3" t="s">
        <v>2986</v>
      </c>
      <c r="AR81" s="3" t="s">
        <v>2987</v>
      </c>
      <c r="AS81" s="3" t="s">
        <v>969</v>
      </c>
      <c r="AT81" s="3" t="s">
        <v>969</v>
      </c>
      <c r="AU81" s="3" t="s">
        <v>1260</v>
      </c>
      <c r="AV81" s="3" t="s">
        <v>2988</v>
      </c>
      <c r="AW81" s="4"/>
      <c r="AX81" s="3" t="s">
        <v>969</v>
      </c>
      <c r="AY81" s="27">
        <v>15.99</v>
      </c>
      <c r="AZ81" s="5" t="s">
        <v>110</v>
      </c>
      <c r="BA81" s="5" t="s">
        <v>22</v>
      </c>
    </row>
    <row r="82" ht="15.75" customHeight="1">
      <c r="A82" s="24"/>
      <c r="B82" s="24">
        <v>188.0</v>
      </c>
      <c r="C82" s="5" t="s">
        <v>1</v>
      </c>
      <c r="D82" s="3" t="s">
        <v>953</v>
      </c>
      <c r="E82" s="25">
        <v>46216.12847222222</v>
      </c>
      <c r="F82" s="3" t="s">
        <v>357</v>
      </c>
      <c r="G82" s="3" t="s">
        <v>357</v>
      </c>
      <c r="H82" s="3" t="s">
        <v>652</v>
      </c>
      <c r="I82" s="3" t="s">
        <v>2989</v>
      </c>
      <c r="J82" s="3" t="s">
        <v>2990</v>
      </c>
      <c r="K82" s="3" t="s">
        <v>1801</v>
      </c>
      <c r="L82" s="3" t="s">
        <v>2991</v>
      </c>
      <c r="M82" s="26">
        <v>36925.0</v>
      </c>
      <c r="N82" s="3" t="s">
        <v>2992</v>
      </c>
      <c r="O82" s="3" t="s">
        <v>2993</v>
      </c>
      <c r="P82" s="4"/>
      <c r="Q82" s="3" t="s">
        <v>2994</v>
      </c>
      <c r="R82" s="3" t="s">
        <v>2995</v>
      </c>
      <c r="S82" s="3" t="s">
        <v>2996</v>
      </c>
      <c r="T82" s="3" t="s">
        <v>1869</v>
      </c>
      <c r="U82" s="3" t="s">
        <v>1124</v>
      </c>
      <c r="V82" s="3" t="s">
        <v>1051</v>
      </c>
      <c r="W82" s="3" t="s">
        <v>2997</v>
      </c>
      <c r="X82" s="3" t="s">
        <v>2998</v>
      </c>
      <c r="Y82" s="3" t="s">
        <v>969</v>
      </c>
      <c r="Z82" s="3" t="s">
        <v>1801</v>
      </c>
      <c r="AA82" s="3" t="s">
        <v>971</v>
      </c>
      <c r="AB82" s="4"/>
      <c r="AC82" s="3" t="s">
        <v>6</v>
      </c>
      <c r="AD82" s="3" t="s">
        <v>2999</v>
      </c>
      <c r="AE82" s="4"/>
      <c r="AF82" s="3" t="s">
        <v>3000</v>
      </c>
      <c r="AG82" s="3" t="s">
        <v>1541</v>
      </c>
      <c r="AH82" s="3" t="s">
        <v>971</v>
      </c>
      <c r="AI82" s="4"/>
      <c r="AJ82" s="4"/>
      <c r="AK82" s="4"/>
      <c r="AL82" s="3" t="s">
        <v>3001</v>
      </c>
      <c r="AM82" s="3" t="s">
        <v>3002</v>
      </c>
      <c r="AN82" s="3" t="s">
        <v>3003</v>
      </c>
      <c r="AO82" s="3" t="s">
        <v>3004</v>
      </c>
      <c r="AP82" s="3" t="s">
        <v>3005</v>
      </c>
      <c r="AQ82" s="3" t="s">
        <v>3006</v>
      </c>
      <c r="AR82" s="3" t="s">
        <v>3007</v>
      </c>
      <c r="AS82" s="3" t="s">
        <v>969</v>
      </c>
      <c r="AT82" s="3" t="s">
        <v>969</v>
      </c>
      <c r="AU82" s="3" t="s">
        <v>1039</v>
      </c>
      <c r="AV82" s="3" t="s">
        <v>2988</v>
      </c>
      <c r="AW82" s="3" t="s">
        <v>2997</v>
      </c>
      <c r="AX82" s="3" t="s">
        <v>969</v>
      </c>
      <c r="AY82" s="27">
        <v>15.99</v>
      </c>
      <c r="AZ82" s="5" t="s">
        <v>1</v>
      </c>
      <c r="BA82" s="5" t="s">
        <v>22</v>
      </c>
    </row>
    <row r="83" ht="15.75" customHeight="1">
      <c r="A83" s="24"/>
      <c r="B83" s="24">
        <v>169.0</v>
      </c>
      <c r="C83" s="5" t="s">
        <v>1</v>
      </c>
      <c r="D83" s="3" t="s">
        <v>953</v>
      </c>
      <c r="E83" s="25">
        <v>46209.43402777778</v>
      </c>
      <c r="F83" s="3" t="s">
        <v>318</v>
      </c>
      <c r="G83" s="3" t="s">
        <v>3008</v>
      </c>
      <c r="H83" s="3" t="s">
        <v>647</v>
      </c>
      <c r="I83" s="3" t="s">
        <v>3009</v>
      </c>
      <c r="J83" s="3" t="s">
        <v>3010</v>
      </c>
      <c r="K83" s="3" t="s">
        <v>3011</v>
      </c>
      <c r="L83" s="3" t="s">
        <v>3012</v>
      </c>
      <c r="M83" s="26">
        <v>37981.0</v>
      </c>
      <c r="N83" s="3" t="s">
        <v>3013</v>
      </c>
      <c r="O83" s="3" t="s">
        <v>3014</v>
      </c>
      <c r="P83" s="3" t="s">
        <v>3015</v>
      </c>
      <c r="Q83" s="3" t="s">
        <v>3016</v>
      </c>
      <c r="R83" s="3" t="s">
        <v>3017</v>
      </c>
      <c r="S83" s="3" t="s">
        <v>3018</v>
      </c>
      <c r="T83" s="3" t="s">
        <v>3019</v>
      </c>
      <c r="U83" s="3" t="s">
        <v>3020</v>
      </c>
      <c r="V83" s="3" t="s">
        <v>3021</v>
      </c>
      <c r="W83" s="3" t="s">
        <v>1397</v>
      </c>
      <c r="X83" s="3" t="s">
        <v>3022</v>
      </c>
      <c r="Y83" s="3" t="s">
        <v>969</v>
      </c>
      <c r="Z83" s="3" t="s">
        <v>3011</v>
      </c>
      <c r="AA83" s="3" t="s">
        <v>969</v>
      </c>
      <c r="AB83" s="3" t="s">
        <v>3023</v>
      </c>
      <c r="AC83" s="3" t="s">
        <v>6</v>
      </c>
      <c r="AD83" s="3" t="s">
        <v>3024</v>
      </c>
      <c r="AE83" s="3" t="s">
        <v>3025</v>
      </c>
      <c r="AF83" s="3" t="s">
        <v>3026</v>
      </c>
      <c r="AG83" s="3" t="s">
        <v>3027</v>
      </c>
      <c r="AH83" s="3" t="s">
        <v>969</v>
      </c>
      <c r="AI83" s="3" t="s">
        <v>3028</v>
      </c>
      <c r="AJ83" s="3" t="s">
        <v>971</v>
      </c>
      <c r="AK83" s="4"/>
      <c r="AL83" s="3" t="s">
        <v>3029</v>
      </c>
      <c r="AM83" s="3" t="s">
        <v>3030</v>
      </c>
      <c r="AN83" s="3" t="s">
        <v>3031</v>
      </c>
      <c r="AO83" s="3" t="s">
        <v>3032</v>
      </c>
      <c r="AP83" s="3" t="s">
        <v>3033</v>
      </c>
      <c r="AQ83" s="3" t="s">
        <v>3034</v>
      </c>
      <c r="AR83" s="3" t="s">
        <v>3035</v>
      </c>
      <c r="AS83" s="3" t="s">
        <v>969</v>
      </c>
      <c r="AT83" s="3" t="s">
        <v>969</v>
      </c>
      <c r="AU83" s="3" t="s">
        <v>1039</v>
      </c>
      <c r="AV83" s="3" t="s">
        <v>3036</v>
      </c>
      <c r="AW83" s="3" t="s">
        <v>3037</v>
      </c>
      <c r="AX83" s="3" t="s">
        <v>969</v>
      </c>
      <c r="AY83" s="27">
        <v>15.99</v>
      </c>
      <c r="AZ83" s="5" t="s">
        <v>1</v>
      </c>
      <c r="BA83" s="5" t="s">
        <v>22</v>
      </c>
    </row>
    <row r="84" ht="15.75" customHeight="1">
      <c r="A84" s="24"/>
      <c r="B84" s="24">
        <v>167.0</v>
      </c>
      <c r="C84" s="5" t="s">
        <v>1</v>
      </c>
      <c r="D84" s="3" t="s">
        <v>953</v>
      </c>
      <c r="E84" s="25">
        <v>46209.17361111111</v>
      </c>
      <c r="F84" s="3" t="s">
        <v>856</v>
      </c>
      <c r="G84" s="3" t="s">
        <v>856</v>
      </c>
      <c r="H84" s="3" t="s">
        <v>312</v>
      </c>
      <c r="I84" s="3" t="s">
        <v>3038</v>
      </c>
      <c r="J84" s="3" t="s">
        <v>3039</v>
      </c>
      <c r="K84" s="3" t="s">
        <v>1916</v>
      </c>
      <c r="L84" s="3" t="s">
        <v>3040</v>
      </c>
      <c r="M84" s="26">
        <v>37962.0</v>
      </c>
      <c r="N84" s="3" t="s">
        <v>3041</v>
      </c>
      <c r="O84" s="3" t="s">
        <v>3042</v>
      </c>
      <c r="P84" s="4"/>
      <c r="Q84" s="3" t="s">
        <v>3043</v>
      </c>
      <c r="R84" s="3" t="s">
        <v>3044</v>
      </c>
      <c r="S84" s="3" t="s">
        <v>3045</v>
      </c>
      <c r="T84" s="3" t="s">
        <v>3046</v>
      </c>
      <c r="U84" s="3" t="s">
        <v>1949</v>
      </c>
      <c r="V84" s="3" t="s">
        <v>3047</v>
      </c>
      <c r="W84" s="3" t="s">
        <v>3048</v>
      </c>
      <c r="X84" s="3" t="s">
        <v>3049</v>
      </c>
      <c r="Y84" s="3" t="s">
        <v>971</v>
      </c>
      <c r="Z84" s="3" t="s">
        <v>3050</v>
      </c>
      <c r="AA84" s="3" t="s">
        <v>969</v>
      </c>
      <c r="AB84" s="3" t="s">
        <v>3051</v>
      </c>
      <c r="AC84" s="3" t="s">
        <v>6</v>
      </c>
      <c r="AD84" s="3" t="s">
        <v>3052</v>
      </c>
      <c r="AE84" s="3" t="s">
        <v>3053</v>
      </c>
      <c r="AF84" s="3" t="s">
        <v>1250</v>
      </c>
      <c r="AG84" s="3" t="s">
        <v>1030</v>
      </c>
      <c r="AH84" s="3" t="s">
        <v>971</v>
      </c>
      <c r="AI84" s="4"/>
      <c r="AJ84" s="3" t="s">
        <v>971</v>
      </c>
      <c r="AK84" s="4"/>
      <c r="AL84" s="3" t="s">
        <v>3054</v>
      </c>
      <c r="AM84" s="3" t="s">
        <v>3055</v>
      </c>
      <c r="AN84" s="3" t="s">
        <v>3056</v>
      </c>
      <c r="AO84" s="3" t="s">
        <v>3057</v>
      </c>
      <c r="AP84" s="3" t="s">
        <v>3058</v>
      </c>
      <c r="AQ84" s="3" t="s">
        <v>3059</v>
      </c>
      <c r="AR84" s="3" t="s">
        <v>3060</v>
      </c>
      <c r="AS84" s="3" t="s">
        <v>969</v>
      </c>
      <c r="AT84" s="3" t="s">
        <v>969</v>
      </c>
      <c r="AU84" s="3" t="s">
        <v>1039</v>
      </c>
      <c r="AV84" s="3" t="s">
        <v>2988</v>
      </c>
      <c r="AW84" s="3" t="s">
        <v>1596</v>
      </c>
      <c r="AX84" s="3" t="s">
        <v>969</v>
      </c>
      <c r="AY84" s="27">
        <v>15.99</v>
      </c>
      <c r="AZ84" s="5" t="s">
        <v>1</v>
      </c>
      <c r="BA84" s="5" t="s">
        <v>43</v>
      </c>
    </row>
    <row r="85" ht="15.75" customHeight="1">
      <c r="A85" s="24"/>
      <c r="B85" s="24">
        <v>148.0</v>
      </c>
      <c r="C85" s="5" t="s">
        <v>1</v>
      </c>
      <c r="D85" s="3" t="s">
        <v>953</v>
      </c>
      <c r="E85" s="25">
        <v>46208.90763888889</v>
      </c>
      <c r="F85" s="3" t="s">
        <v>832</v>
      </c>
      <c r="G85" s="3" t="s">
        <v>832</v>
      </c>
      <c r="H85" s="3" t="s">
        <v>270</v>
      </c>
      <c r="I85" s="3" t="s">
        <v>3061</v>
      </c>
      <c r="J85" s="3" t="s">
        <v>3062</v>
      </c>
      <c r="K85" s="3" t="s">
        <v>189</v>
      </c>
      <c r="L85" s="3" t="s">
        <v>3063</v>
      </c>
      <c r="M85" s="26">
        <v>34160.0</v>
      </c>
      <c r="N85" s="3" t="s">
        <v>3064</v>
      </c>
      <c r="O85" s="3" t="s">
        <v>3065</v>
      </c>
      <c r="P85" s="3" t="s">
        <v>3066</v>
      </c>
      <c r="Q85" s="3" t="s">
        <v>3067</v>
      </c>
      <c r="R85" s="3" t="s">
        <v>3068</v>
      </c>
      <c r="S85" s="3" t="s">
        <v>3069</v>
      </c>
      <c r="T85" s="3" t="s">
        <v>3070</v>
      </c>
      <c r="U85" s="3" t="s">
        <v>3071</v>
      </c>
      <c r="V85" s="3" t="s">
        <v>3071</v>
      </c>
      <c r="W85" s="3" t="s">
        <v>3072</v>
      </c>
      <c r="X85" s="3" t="s">
        <v>3073</v>
      </c>
      <c r="Y85" s="3" t="s">
        <v>971</v>
      </c>
      <c r="Z85" s="3" t="s">
        <v>1128</v>
      </c>
      <c r="AA85" s="3" t="s">
        <v>969</v>
      </c>
      <c r="AB85" s="3" t="s">
        <v>3074</v>
      </c>
      <c r="AC85" s="3" t="s">
        <v>969</v>
      </c>
      <c r="AD85" s="3" t="s">
        <v>966</v>
      </c>
      <c r="AE85" s="4"/>
      <c r="AF85" s="4"/>
      <c r="AG85" s="4"/>
      <c r="AH85" s="3" t="s">
        <v>971</v>
      </c>
      <c r="AI85" s="4"/>
      <c r="AJ85" s="4"/>
      <c r="AK85" s="4"/>
      <c r="AL85" s="4"/>
      <c r="AM85" s="3" t="s">
        <v>3075</v>
      </c>
      <c r="AN85" s="3" t="s">
        <v>3076</v>
      </c>
      <c r="AO85" s="3" t="s">
        <v>3077</v>
      </c>
      <c r="AP85" s="3" t="s">
        <v>3078</v>
      </c>
      <c r="AQ85" s="3" t="s">
        <v>3079</v>
      </c>
      <c r="AR85" s="3" t="s">
        <v>3080</v>
      </c>
      <c r="AS85" s="3" t="s">
        <v>969</v>
      </c>
      <c r="AT85" s="3" t="s">
        <v>969</v>
      </c>
      <c r="AU85" s="3" t="s">
        <v>1260</v>
      </c>
      <c r="AV85" s="3" t="s">
        <v>3081</v>
      </c>
      <c r="AW85" s="3" t="s">
        <v>3082</v>
      </c>
      <c r="AX85" s="3" t="s">
        <v>969</v>
      </c>
      <c r="AY85" s="27">
        <v>15.99</v>
      </c>
      <c r="AZ85" s="5" t="s">
        <v>1</v>
      </c>
      <c r="BA85" s="5" t="s">
        <v>43</v>
      </c>
    </row>
    <row r="86" ht="15.75" customHeight="1">
      <c r="A86" s="24"/>
      <c r="B86" s="24">
        <v>147.0</v>
      </c>
      <c r="C86" s="5" t="s">
        <v>1</v>
      </c>
      <c r="D86" s="3" t="s">
        <v>953</v>
      </c>
      <c r="E86" s="25">
        <v>46208.90138888889</v>
      </c>
      <c r="F86" s="3" t="s">
        <v>3083</v>
      </c>
      <c r="G86" s="3" t="s">
        <v>3083</v>
      </c>
      <c r="H86" s="3" t="s">
        <v>265</v>
      </c>
      <c r="I86" s="3" t="s">
        <v>3084</v>
      </c>
      <c r="J86" s="3" t="s">
        <v>3085</v>
      </c>
      <c r="K86" s="3" t="s">
        <v>2348</v>
      </c>
      <c r="L86" s="3" t="s">
        <v>3086</v>
      </c>
      <c r="M86" s="26">
        <v>38965.0</v>
      </c>
      <c r="N86" s="3" t="s">
        <v>3087</v>
      </c>
      <c r="O86" s="3" t="s">
        <v>3088</v>
      </c>
      <c r="P86" s="3" t="s">
        <v>3089</v>
      </c>
      <c r="Q86" s="3" t="s">
        <v>3090</v>
      </c>
      <c r="R86" s="3" t="s">
        <v>3091</v>
      </c>
      <c r="S86" s="3" t="s">
        <v>3092</v>
      </c>
      <c r="T86" s="3" t="s">
        <v>3093</v>
      </c>
      <c r="U86" s="3" t="s">
        <v>1896</v>
      </c>
      <c r="V86" s="3" t="s">
        <v>3094</v>
      </c>
      <c r="W86" s="3" t="s">
        <v>3095</v>
      </c>
      <c r="X86" s="3" t="s">
        <v>3096</v>
      </c>
      <c r="Y86" s="3" t="s">
        <v>969</v>
      </c>
      <c r="Z86" s="3" t="s">
        <v>2332</v>
      </c>
      <c r="AA86" s="3" t="s">
        <v>971</v>
      </c>
      <c r="AB86" s="4"/>
      <c r="AC86" s="4"/>
      <c r="AD86" s="3" t="s">
        <v>3097</v>
      </c>
      <c r="AE86" s="3" t="s">
        <v>3098</v>
      </c>
      <c r="AF86" s="3" t="s">
        <v>3099</v>
      </c>
      <c r="AG86" s="4"/>
      <c r="AH86" s="3" t="s">
        <v>971</v>
      </c>
      <c r="AI86" s="4"/>
      <c r="AJ86" s="3" t="s">
        <v>969</v>
      </c>
      <c r="AK86" s="3" t="s">
        <v>3100</v>
      </c>
      <c r="AL86" s="3" t="s">
        <v>3101</v>
      </c>
      <c r="AM86" s="3" t="s">
        <v>3102</v>
      </c>
      <c r="AN86" s="3" t="s">
        <v>3103</v>
      </c>
      <c r="AO86" s="3" t="s">
        <v>3104</v>
      </c>
      <c r="AP86" s="3" t="s">
        <v>3105</v>
      </c>
      <c r="AQ86" s="3" t="s">
        <v>3106</v>
      </c>
      <c r="AR86" s="3" t="s">
        <v>3107</v>
      </c>
      <c r="AS86" s="3" t="s">
        <v>969</v>
      </c>
      <c r="AT86" s="3" t="s">
        <v>969</v>
      </c>
      <c r="AU86" s="3" t="s">
        <v>1039</v>
      </c>
      <c r="AV86" s="3" t="s">
        <v>3108</v>
      </c>
      <c r="AW86" s="3" t="s">
        <v>3109</v>
      </c>
      <c r="AX86" s="3" t="s">
        <v>969</v>
      </c>
      <c r="AY86" s="27">
        <v>15.99</v>
      </c>
      <c r="AZ86" s="5" t="s">
        <v>1</v>
      </c>
      <c r="BA86" s="5" t="s">
        <v>7</v>
      </c>
    </row>
    <row r="87" ht="15.75" customHeight="1">
      <c r="A87" s="24"/>
      <c r="B87" s="24">
        <v>144.0</v>
      </c>
      <c r="C87" s="5" t="s">
        <v>1</v>
      </c>
      <c r="D87" s="3" t="s">
        <v>953</v>
      </c>
      <c r="E87" s="25">
        <v>46208.87847222222</v>
      </c>
      <c r="F87" s="3" t="s">
        <v>260</v>
      </c>
      <c r="G87" s="3" t="s">
        <v>260</v>
      </c>
      <c r="H87" s="3" t="s">
        <v>261</v>
      </c>
      <c r="I87" s="3" t="s">
        <v>3110</v>
      </c>
      <c r="J87" s="3" t="s">
        <v>3111</v>
      </c>
      <c r="K87" s="3" t="s">
        <v>3112</v>
      </c>
      <c r="L87" s="3" t="s">
        <v>3113</v>
      </c>
      <c r="M87" s="26">
        <v>38402.0</v>
      </c>
      <c r="N87" s="3" t="s">
        <v>3114</v>
      </c>
      <c r="O87" s="3" t="s">
        <v>3115</v>
      </c>
      <c r="P87" s="4"/>
      <c r="Q87" s="3" t="s">
        <v>3116</v>
      </c>
      <c r="R87" s="3" t="s">
        <v>3117</v>
      </c>
      <c r="S87" s="3" t="s">
        <v>1605</v>
      </c>
      <c r="T87" s="3" t="s">
        <v>3118</v>
      </c>
      <c r="U87" s="3" t="s">
        <v>3119</v>
      </c>
      <c r="V87" s="3" t="s">
        <v>3120</v>
      </c>
      <c r="W87" s="3" t="s">
        <v>3121</v>
      </c>
      <c r="X87" s="3" t="s">
        <v>3122</v>
      </c>
      <c r="Y87" s="3" t="s">
        <v>969</v>
      </c>
      <c r="Z87" s="3" t="s">
        <v>1054</v>
      </c>
      <c r="AA87" s="3" t="s">
        <v>971</v>
      </c>
      <c r="AB87" s="4"/>
      <c r="AC87" s="3" t="s">
        <v>3123</v>
      </c>
      <c r="AD87" s="3" t="s">
        <v>3124</v>
      </c>
      <c r="AE87" s="3" t="s">
        <v>3125</v>
      </c>
      <c r="AF87" s="3" t="s">
        <v>3126</v>
      </c>
      <c r="AG87" s="3" t="s">
        <v>1002</v>
      </c>
      <c r="AH87" s="3" t="s">
        <v>971</v>
      </c>
      <c r="AI87" s="4"/>
      <c r="AJ87" s="4"/>
      <c r="AK87" s="4"/>
      <c r="AL87" s="3" t="s">
        <v>3127</v>
      </c>
      <c r="AM87" s="3" t="s">
        <v>3128</v>
      </c>
      <c r="AN87" s="3" t="s">
        <v>3129</v>
      </c>
      <c r="AO87" s="3" t="s">
        <v>3130</v>
      </c>
      <c r="AP87" s="3" t="s">
        <v>3131</v>
      </c>
      <c r="AQ87" s="3" t="s">
        <v>3132</v>
      </c>
      <c r="AR87" s="3" t="s">
        <v>3133</v>
      </c>
      <c r="AS87" s="3" t="s">
        <v>969</v>
      </c>
      <c r="AT87" s="3" t="s">
        <v>969</v>
      </c>
      <c r="AU87" s="3" t="s">
        <v>1039</v>
      </c>
      <c r="AV87" s="3" t="s">
        <v>3134</v>
      </c>
      <c r="AW87" s="3" t="s">
        <v>3135</v>
      </c>
      <c r="AX87" s="3" t="s">
        <v>969</v>
      </c>
      <c r="AY87" s="27">
        <v>15.99</v>
      </c>
      <c r="AZ87" s="5" t="s">
        <v>1</v>
      </c>
      <c r="BA87" s="5" t="s">
        <v>7</v>
      </c>
    </row>
    <row r="88" ht="15.75" customHeight="1">
      <c r="A88" s="24"/>
      <c r="B88" s="24">
        <v>143.0</v>
      </c>
      <c r="C88" s="5" t="s">
        <v>1</v>
      </c>
      <c r="D88" s="3" t="s">
        <v>953</v>
      </c>
      <c r="E88" s="25">
        <v>46208.875</v>
      </c>
      <c r="F88" s="3" t="s">
        <v>255</v>
      </c>
      <c r="G88" s="3" t="s">
        <v>255</v>
      </c>
      <c r="H88" s="3" t="s">
        <v>256</v>
      </c>
      <c r="I88" s="3" t="s">
        <v>3136</v>
      </c>
      <c r="J88" s="4"/>
      <c r="K88" s="3" t="s">
        <v>3137</v>
      </c>
      <c r="L88" s="3" t="s">
        <v>3138</v>
      </c>
      <c r="M88" s="26">
        <v>33395.0</v>
      </c>
      <c r="N88" s="3" t="s">
        <v>3139</v>
      </c>
      <c r="O88" s="3" t="s">
        <v>3140</v>
      </c>
      <c r="P88" s="4"/>
      <c r="Q88" s="4"/>
      <c r="R88" s="4"/>
      <c r="S88" s="3" t="s">
        <v>3141</v>
      </c>
      <c r="T88" s="3" t="s">
        <v>3141</v>
      </c>
      <c r="U88" s="3" t="s">
        <v>3142</v>
      </c>
      <c r="V88" s="3" t="s">
        <v>3143</v>
      </c>
      <c r="W88" s="4"/>
      <c r="X88" s="3" t="s">
        <v>3144</v>
      </c>
      <c r="Y88" s="3" t="s">
        <v>969</v>
      </c>
      <c r="Z88" s="3" t="s">
        <v>1080</v>
      </c>
      <c r="AA88" s="3" t="s">
        <v>971</v>
      </c>
      <c r="AB88" s="4"/>
      <c r="AC88" s="4"/>
      <c r="AD88" s="3" t="s">
        <v>3145</v>
      </c>
      <c r="AE88" s="4"/>
      <c r="AF88" s="3" t="s">
        <v>1250</v>
      </c>
      <c r="AG88" s="3" t="s">
        <v>1541</v>
      </c>
      <c r="AH88" s="3" t="s">
        <v>971</v>
      </c>
      <c r="AI88" s="4"/>
      <c r="AJ88" s="4"/>
      <c r="AK88" s="4"/>
      <c r="AL88" s="4"/>
      <c r="AM88" s="3" t="s">
        <v>3146</v>
      </c>
      <c r="AN88" s="3" t="s">
        <v>3147</v>
      </c>
      <c r="AO88" s="3" t="s">
        <v>3148</v>
      </c>
      <c r="AP88" s="3" t="s">
        <v>3149</v>
      </c>
      <c r="AQ88" s="3" t="s">
        <v>3150</v>
      </c>
      <c r="AR88" s="3" t="s">
        <v>3151</v>
      </c>
      <c r="AS88" s="3" t="s">
        <v>969</v>
      </c>
      <c r="AT88" s="3" t="s">
        <v>969</v>
      </c>
      <c r="AU88" s="3" t="s">
        <v>1039</v>
      </c>
      <c r="AV88" s="3" t="s">
        <v>3152</v>
      </c>
      <c r="AW88" s="4"/>
      <c r="AX88" s="3" t="s">
        <v>969</v>
      </c>
      <c r="AY88" s="27">
        <v>15.99</v>
      </c>
      <c r="AZ88" s="5" t="s">
        <v>1</v>
      </c>
      <c r="BA88" s="5" t="s">
        <v>7</v>
      </c>
    </row>
    <row r="89" ht="15.75" customHeight="1">
      <c r="A89" s="24"/>
      <c r="B89" s="24">
        <v>138.0</v>
      </c>
      <c r="C89" s="5" t="s">
        <v>1</v>
      </c>
      <c r="D89" s="3" t="s">
        <v>953</v>
      </c>
      <c r="E89" s="25">
        <v>46208.83333333334</v>
      </c>
      <c r="F89" s="3" t="s">
        <v>3153</v>
      </c>
      <c r="G89" s="3" t="s">
        <v>3153</v>
      </c>
      <c r="H89" s="3" t="s">
        <v>238</v>
      </c>
      <c r="I89" s="3" t="s">
        <v>677</v>
      </c>
      <c r="J89" s="3" t="s">
        <v>3154</v>
      </c>
      <c r="K89" s="3" t="s">
        <v>3155</v>
      </c>
      <c r="L89" s="3" t="s">
        <v>3156</v>
      </c>
      <c r="M89" s="26">
        <v>34649.0</v>
      </c>
      <c r="N89" s="3" t="s">
        <v>3157</v>
      </c>
      <c r="O89" s="3" t="s">
        <v>3158</v>
      </c>
      <c r="P89" s="4"/>
      <c r="Q89" s="4"/>
      <c r="R89" s="4"/>
      <c r="S89" s="3" t="s">
        <v>3159</v>
      </c>
      <c r="T89" s="3" t="s">
        <v>3160</v>
      </c>
      <c r="U89" s="3" t="s">
        <v>3161</v>
      </c>
      <c r="V89" s="3" t="s">
        <v>1050</v>
      </c>
      <c r="W89" s="3" t="s">
        <v>3162</v>
      </c>
      <c r="X89" s="3" t="s">
        <v>3163</v>
      </c>
      <c r="Y89" s="3" t="s">
        <v>969</v>
      </c>
      <c r="Z89" s="3" t="s">
        <v>3155</v>
      </c>
      <c r="AA89" s="3" t="s">
        <v>971</v>
      </c>
      <c r="AB89" s="4"/>
      <c r="AC89" s="3" t="s">
        <v>969</v>
      </c>
      <c r="AD89" s="3" t="s">
        <v>3164</v>
      </c>
      <c r="AE89" s="4"/>
      <c r="AF89" s="3" t="s">
        <v>3165</v>
      </c>
      <c r="AG89" s="3" t="s">
        <v>2853</v>
      </c>
      <c r="AH89" s="3" t="s">
        <v>971</v>
      </c>
      <c r="AI89" s="4"/>
      <c r="AJ89" s="3" t="s">
        <v>3166</v>
      </c>
      <c r="AK89" s="3" t="s">
        <v>3167</v>
      </c>
      <c r="AL89" s="3" t="s">
        <v>3168</v>
      </c>
      <c r="AM89" s="3" t="s">
        <v>3169</v>
      </c>
      <c r="AN89" s="3" t="s">
        <v>3170</v>
      </c>
      <c r="AO89" s="3" t="s">
        <v>3171</v>
      </c>
      <c r="AP89" s="3" t="s">
        <v>3172</v>
      </c>
      <c r="AQ89" s="3" t="s">
        <v>3173</v>
      </c>
      <c r="AR89" s="3" t="s">
        <v>3174</v>
      </c>
      <c r="AS89" s="3" t="s">
        <v>969</v>
      </c>
      <c r="AT89" s="3" t="s">
        <v>969</v>
      </c>
      <c r="AU89" s="3" t="s">
        <v>1409</v>
      </c>
      <c r="AV89" s="3" t="s">
        <v>3175</v>
      </c>
      <c r="AW89" s="3" t="s">
        <v>3176</v>
      </c>
      <c r="AX89" s="3" t="s">
        <v>969</v>
      </c>
      <c r="AY89" s="27">
        <v>15.99</v>
      </c>
      <c r="AZ89" s="5" t="s">
        <v>1</v>
      </c>
      <c r="BA89" s="5" t="s">
        <v>241</v>
      </c>
    </row>
    <row r="90" ht="15.75" customHeight="1">
      <c r="A90" s="24"/>
      <c r="B90" s="24">
        <v>137.0</v>
      </c>
      <c r="C90" s="5" t="s">
        <v>1</v>
      </c>
      <c r="D90" s="3" t="s">
        <v>953</v>
      </c>
      <c r="E90" s="25">
        <v>46208.82777777778</v>
      </c>
      <c r="F90" s="3" t="s">
        <v>3177</v>
      </c>
      <c r="G90" s="3" t="s">
        <v>235</v>
      </c>
      <c r="H90" s="3" t="s">
        <v>791</v>
      </c>
      <c r="I90" s="3" t="s">
        <v>3178</v>
      </c>
      <c r="J90" s="3" t="s">
        <v>3179</v>
      </c>
      <c r="K90" s="3" t="s">
        <v>2753</v>
      </c>
      <c r="L90" s="3" t="s">
        <v>3180</v>
      </c>
      <c r="M90" s="26">
        <v>34541.0</v>
      </c>
      <c r="N90" s="3" t="s">
        <v>3181</v>
      </c>
      <c r="O90" s="3" t="s">
        <v>3182</v>
      </c>
      <c r="P90" s="4"/>
      <c r="Q90" s="4"/>
      <c r="R90" s="3" t="s">
        <v>3183</v>
      </c>
      <c r="S90" s="3" t="s">
        <v>3184</v>
      </c>
      <c r="T90" s="3" t="s">
        <v>3185</v>
      </c>
      <c r="U90" s="3" t="s">
        <v>1245</v>
      </c>
      <c r="V90" s="3" t="s">
        <v>3186</v>
      </c>
      <c r="W90" s="3" t="s">
        <v>2925</v>
      </c>
      <c r="X90" s="3" t="s">
        <v>3187</v>
      </c>
      <c r="Y90" s="3" t="s">
        <v>969</v>
      </c>
      <c r="Z90" s="3" t="s">
        <v>3188</v>
      </c>
      <c r="AA90" s="3" t="s">
        <v>969</v>
      </c>
      <c r="AB90" s="3" t="s">
        <v>3189</v>
      </c>
      <c r="AC90" s="3" t="s">
        <v>969</v>
      </c>
      <c r="AD90" s="3" t="s">
        <v>971</v>
      </c>
      <c r="AE90" s="4"/>
      <c r="AF90" s="4"/>
      <c r="AG90" s="3" t="s">
        <v>1956</v>
      </c>
      <c r="AH90" s="3" t="s">
        <v>969</v>
      </c>
      <c r="AI90" s="3" t="s">
        <v>3190</v>
      </c>
      <c r="AJ90" s="3" t="s">
        <v>971</v>
      </c>
      <c r="AK90" s="4"/>
      <c r="AL90" s="3" t="s">
        <v>3191</v>
      </c>
      <c r="AM90" s="3" t="s">
        <v>3192</v>
      </c>
      <c r="AN90" s="3" t="s">
        <v>3193</v>
      </c>
      <c r="AO90" s="3" t="s">
        <v>3194</v>
      </c>
      <c r="AP90" s="3" t="s">
        <v>3195</v>
      </c>
      <c r="AQ90" s="3" t="s">
        <v>3196</v>
      </c>
      <c r="AR90" s="3" t="s">
        <v>3197</v>
      </c>
      <c r="AS90" s="3" t="s">
        <v>969</v>
      </c>
      <c r="AT90" s="3" t="s">
        <v>969</v>
      </c>
      <c r="AU90" s="3" t="s">
        <v>1039</v>
      </c>
      <c r="AV90" s="3" t="s">
        <v>2217</v>
      </c>
      <c r="AW90" s="3" t="s">
        <v>3198</v>
      </c>
      <c r="AX90" s="3" t="s">
        <v>969</v>
      </c>
      <c r="AY90" s="27">
        <v>15.99</v>
      </c>
      <c r="AZ90" s="5" t="s">
        <v>1</v>
      </c>
      <c r="BA90" s="5" t="s">
        <v>22</v>
      </c>
    </row>
    <row r="91" ht="15.75" customHeight="1">
      <c r="A91" s="24"/>
      <c r="B91" s="24">
        <v>130.0</v>
      </c>
      <c r="C91" s="5" t="s">
        <v>1</v>
      </c>
      <c r="D91" s="3" t="s">
        <v>953</v>
      </c>
      <c r="E91" s="25">
        <v>46208.72222222222</v>
      </c>
      <c r="F91" s="3" t="s">
        <v>3199</v>
      </c>
      <c r="G91" s="3" t="s">
        <v>3199</v>
      </c>
      <c r="H91" s="3" t="s">
        <v>725</v>
      </c>
      <c r="I91" s="3" t="s">
        <v>3200</v>
      </c>
      <c r="J91" s="3" t="s">
        <v>3201</v>
      </c>
      <c r="K91" s="3" t="s">
        <v>3202</v>
      </c>
      <c r="L91" s="3" t="s">
        <v>3203</v>
      </c>
      <c r="M91" s="26">
        <v>31261.0</v>
      </c>
      <c r="N91" s="3" t="s">
        <v>3204</v>
      </c>
      <c r="O91" s="3" t="s">
        <v>3205</v>
      </c>
      <c r="P91" s="4"/>
      <c r="Q91" s="4"/>
      <c r="R91" s="4"/>
      <c r="S91" s="3" t="s">
        <v>3206</v>
      </c>
      <c r="T91" s="3" t="s">
        <v>3207</v>
      </c>
      <c r="U91" s="3" t="s">
        <v>3208</v>
      </c>
      <c r="V91" s="3" t="s">
        <v>3209</v>
      </c>
      <c r="W91" s="3" t="s">
        <v>3210</v>
      </c>
      <c r="X91" s="3" t="s">
        <v>3211</v>
      </c>
      <c r="Y91" s="3" t="s">
        <v>969</v>
      </c>
      <c r="Z91" s="4"/>
      <c r="AA91" s="3" t="s">
        <v>969</v>
      </c>
      <c r="AB91" s="4"/>
      <c r="AC91" s="3" t="s">
        <v>969</v>
      </c>
      <c r="AD91" s="3" t="s">
        <v>3212</v>
      </c>
      <c r="AE91" s="4"/>
      <c r="AF91" s="3" t="s">
        <v>3213</v>
      </c>
      <c r="AG91" s="3" t="s">
        <v>3214</v>
      </c>
      <c r="AH91" s="3" t="s">
        <v>969</v>
      </c>
      <c r="AI91" s="4"/>
      <c r="AJ91" s="4"/>
      <c r="AK91" s="4"/>
      <c r="AL91" s="4"/>
      <c r="AM91" s="3" t="s">
        <v>3215</v>
      </c>
      <c r="AN91" s="3" t="s">
        <v>3216</v>
      </c>
      <c r="AO91" s="3" t="s">
        <v>3217</v>
      </c>
      <c r="AP91" s="3" t="s">
        <v>3218</v>
      </c>
      <c r="AQ91" s="3" t="s">
        <v>3219</v>
      </c>
      <c r="AR91" s="3" t="s">
        <v>3220</v>
      </c>
      <c r="AS91" s="3" t="s">
        <v>969</v>
      </c>
      <c r="AT91" s="3" t="s">
        <v>969</v>
      </c>
      <c r="AU91" s="3" t="s">
        <v>1039</v>
      </c>
      <c r="AV91" s="3" t="s">
        <v>3221</v>
      </c>
      <c r="AW91" s="3" t="s">
        <v>3222</v>
      </c>
      <c r="AX91" s="3" t="s">
        <v>969</v>
      </c>
      <c r="AY91" s="27">
        <v>15.99</v>
      </c>
      <c r="AZ91" s="5" t="s">
        <v>1</v>
      </c>
      <c r="BA91" s="5" t="s">
        <v>22</v>
      </c>
    </row>
    <row r="92" ht="15.75" customHeight="1">
      <c r="A92" s="24"/>
      <c r="B92" s="24">
        <v>129.0</v>
      </c>
      <c r="C92" s="5" t="s">
        <v>1</v>
      </c>
      <c r="D92" s="3" t="s">
        <v>953</v>
      </c>
      <c r="E92" s="25">
        <v>46208.71180555555</v>
      </c>
      <c r="F92" s="3" t="s">
        <v>3223</v>
      </c>
      <c r="G92" s="3" t="s">
        <v>3223</v>
      </c>
      <c r="H92" s="3" t="s">
        <v>3224</v>
      </c>
      <c r="I92" s="3" t="s">
        <v>3225</v>
      </c>
      <c r="J92" s="3" t="s">
        <v>3226</v>
      </c>
      <c r="K92" s="3" t="s">
        <v>1943</v>
      </c>
      <c r="L92" s="3" t="s">
        <v>3158</v>
      </c>
      <c r="M92" s="26">
        <v>31092.0</v>
      </c>
      <c r="N92" s="3" t="s">
        <v>3227</v>
      </c>
      <c r="O92" s="3" t="s">
        <v>3228</v>
      </c>
      <c r="P92" s="4"/>
      <c r="Q92" s="3" t="s">
        <v>3229</v>
      </c>
      <c r="R92" s="3" t="s">
        <v>3230</v>
      </c>
      <c r="S92" s="3" t="s">
        <v>3231</v>
      </c>
      <c r="T92" s="3" t="s">
        <v>3232</v>
      </c>
      <c r="U92" s="3" t="s">
        <v>3233</v>
      </c>
      <c r="V92" s="3" t="s">
        <v>3234</v>
      </c>
      <c r="W92" s="3" t="s">
        <v>3235</v>
      </c>
      <c r="X92" s="3" t="s">
        <v>3236</v>
      </c>
      <c r="Y92" s="3" t="s">
        <v>969</v>
      </c>
      <c r="Z92" s="3" t="s">
        <v>1399</v>
      </c>
      <c r="AA92" s="3" t="s">
        <v>971</v>
      </c>
      <c r="AB92" s="4"/>
      <c r="AC92" s="3" t="s">
        <v>969</v>
      </c>
      <c r="AD92" s="3" t="s">
        <v>3237</v>
      </c>
      <c r="AE92" s="3" t="s">
        <v>3238</v>
      </c>
      <c r="AF92" s="3" t="s">
        <v>3239</v>
      </c>
      <c r="AG92" s="3" t="s">
        <v>2853</v>
      </c>
      <c r="AH92" s="3" t="s">
        <v>971</v>
      </c>
      <c r="AI92" s="3" t="s">
        <v>3240</v>
      </c>
      <c r="AJ92" s="3" t="s">
        <v>3241</v>
      </c>
      <c r="AK92" s="3" t="s">
        <v>3242</v>
      </c>
      <c r="AL92" s="3" t="s">
        <v>3243</v>
      </c>
      <c r="AM92" s="3" t="s">
        <v>3244</v>
      </c>
      <c r="AN92" s="3" t="s">
        <v>3245</v>
      </c>
      <c r="AO92" s="3" t="s">
        <v>3246</v>
      </c>
      <c r="AP92" s="3" t="s">
        <v>3247</v>
      </c>
      <c r="AQ92" s="3" t="s">
        <v>3248</v>
      </c>
      <c r="AR92" s="3" t="s">
        <v>3249</v>
      </c>
      <c r="AS92" s="3" t="s">
        <v>969</v>
      </c>
      <c r="AT92" s="3" t="s">
        <v>969</v>
      </c>
      <c r="AU92" s="3" t="s">
        <v>1409</v>
      </c>
      <c r="AV92" s="3" t="s">
        <v>3250</v>
      </c>
      <c r="AW92" s="3" t="s">
        <v>3251</v>
      </c>
      <c r="AX92" s="3" t="s">
        <v>969</v>
      </c>
      <c r="AY92" s="27">
        <v>15.99</v>
      </c>
      <c r="AZ92" s="5" t="s">
        <v>1</v>
      </c>
      <c r="BA92" s="5" t="s">
        <v>22</v>
      </c>
    </row>
    <row r="93" ht="15.75" customHeight="1">
      <c r="A93" s="24"/>
      <c r="B93" s="24">
        <v>127.0</v>
      </c>
      <c r="C93" s="5" t="s">
        <v>56</v>
      </c>
      <c r="D93" s="3" t="s">
        <v>953</v>
      </c>
      <c r="E93" s="25">
        <v>46208.69930555556</v>
      </c>
      <c r="F93" s="3" t="s">
        <v>214</v>
      </c>
      <c r="G93" s="3" t="s">
        <v>214</v>
      </c>
      <c r="H93" s="3" t="s">
        <v>565</v>
      </c>
      <c r="I93" s="3" t="s">
        <v>3252</v>
      </c>
      <c r="J93" s="3" t="s">
        <v>3253</v>
      </c>
      <c r="K93" s="3" t="s">
        <v>3254</v>
      </c>
      <c r="L93" s="3" t="s">
        <v>3255</v>
      </c>
      <c r="M93" s="26">
        <v>38833.0</v>
      </c>
      <c r="N93" s="3" t="s">
        <v>3256</v>
      </c>
      <c r="O93" s="3" t="s">
        <v>3257</v>
      </c>
      <c r="P93" s="4"/>
      <c r="Q93" s="3" t="s">
        <v>3258</v>
      </c>
      <c r="R93" s="4"/>
      <c r="S93" s="3" t="s">
        <v>3259</v>
      </c>
      <c r="T93" s="3" t="s">
        <v>3260</v>
      </c>
      <c r="U93" s="3" t="s">
        <v>1124</v>
      </c>
      <c r="V93" s="3" t="s">
        <v>3261</v>
      </c>
      <c r="W93" s="3" t="s">
        <v>1926</v>
      </c>
      <c r="X93" s="3" t="s">
        <v>3262</v>
      </c>
      <c r="Y93" s="3" t="s">
        <v>969</v>
      </c>
      <c r="Z93" s="3" t="s">
        <v>1399</v>
      </c>
      <c r="AA93" s="3" t="s">
        <v>971</v>
      </c>
      <c r="AB93" s="4"/>
      <c r="AC93" s="3" t="s">
        <v>6</v>
      </c>
      <c r="AD93" s="3" t="s">
        <v>3263</v>
      </c>
      <c r="AE93" s="3" t="s">
        <v>3264</v>
      </c>
      <c r="AF93" s="3" t="s">
        <v>3265</v>
      </c>
      <c r="AG93" s="3" t="s">
        <v>3266</v>
      </c>
      <c r="AH93" s="3" t="s">
        <v>971</v>
      </c>
      <c r="AI93" s="4"/>
      <c r="AJ93" s="3" t="s">
        <v>971</v>
      </c>
      <c r="AK93" s="4"/>
      <c r="AL93" s="3" t="s">
        <v>3267</v>
      </c>
      <c r="AM93" s="3" t="s">
        <v>3268</v>
      </c>
      <c r="AN93" s="3" t="s">
        <v>3269</v>
      </c>
      <c r="AO93" s="3" t="s">
        <v>3270</v>
      </c>
      <c r="AP93" s="3" t="s">
        <v>3271</v>
      </c>
      <c r="AQ93" s="3" t="s">
        <v>3272</v>
      </c>
      <c r="AR93" s="3" t="s">
        <v>3273</v>
      </c>
      <c r="AS93" s="3" t="s">
        <v>969</v>
      </c>
      <c r="AT93" s="3" t="s">
        <v>969</v>
      </c>
      <c r="AU93" s="3" t="s">
        <v>1409</v>
      </c>
      <c r="AV93" s="3" t="s">
        <v>3152</v>
      </c>
      <c r="AW93" s="3" t="s">
        <v>1288</v>
      </c>
      <c r="AX93" s="3" t="s">
        <v>969</v>
      </c>
      <c r="AY93" s="27">
        <v>15.99</v>
      </c>
      <c r="AZ93" s="5" t="s">
        <v>56</v>
      </c>
      <c r="BA93" s="5" t="s">
        <v>22</v>
      </c>
    </row>
    <row r="94" ht="15.75" customHeight="1">
      <c r="A94" s="24"/>
      <c r="B94" s="24">
        <v>123.0</v>
      </c>
      <c r="C94" s="5" t="s">
        <v>1</v>
      </c>
      <c r="D94" s="3" t="s">
        <v>953</v>
      </c>
      <c r="E94" s="25">
        <v>46208.64930555555</v>
      </c>
      <c r="F94" s="3" t="s">
        <v>860</v>
      </c>
      <c r="G94" s="3" t="s">
        <v>3274</v>
      </c>
      <c r="H94" s="3" t="s">
        <v>212</v>
      </c>
      <c r="I94" s="3" t="s">
        <v>3275</v>
      </c>
      <c r="J94" s="3" t="s">
        <v>3276</v>
      </c>
      <c r="K94" s="3" t="s">
        <v>3277</v>
      </c>
      <c r="L94" s="3" t="s">
        <v>3278</v>
      </c>
      <c r="M94" s="26">
        <v>32011.0</v>
      </c>
      <c r="N94" s="3" t="s">
        <v>3279</v>
      </c>
      <c r="O94" s="3" t="s">
        <v>3280</v>
      </c>
      <c r="P94" s="3" t="s">
        <v>3281</v>
      </c>
      <c r="Q94" s="4"/>
      <c r="R94" s="4"/>
      <c r="S94" s="3" t="s">
        <v>3282</v>
      </c>
      <c r="T94" s="42" t="s">
        <v>3283</v>
      </c>
      <c r="U94" s="3" t="s">
        <v>3233</v>
      </c>
      <c r="V94" s="3" t="s">
        <v>3284</v>
      </c>
      <c r="W94" s="3" t="s">
        <v>2925</v>
      </c>
      <c r="X94" s="3" t="s">
        <v>3285</v>
      </c>
      <c r="Y94" s="3" t="s">
        <v>969</v>
      </c>
      <c r="Z94" s="3" t="s">
        <v>1928</v>
      </c>
      <c r="AA94" s="3" t="s">
        <v>971</v>
      </c>
      <c r="AB94" s="4"/>
      <c r="AC94" s="3" t="s">
        <v>3286</v>
      </c>
      <c r="AD94" s="3" t="s">
        <v>3287</v>
      </c>
      <c r="AE94" s="3" t="s">
        <v>3288</v>
      </c>
      <c r="AF94" s="3" t="s">
        <v>1250</v>
      </c>
      <c r="AG94" s="3" t="s">
        <v>1002</v>
      </c>
      <c r="AH94" s="3" t="s">
        <v>969</v>
      </c>
      <c r="AI94" s="3" t="s">
        <v>3289</v>
      </c>
      <c r="AJ94" s="3" t="s">
        <v>969</v>
      </c>
      <c r="AK94" s="3" t="s">
        <v>3290</v>
      </c>
      <c r="AL94" s="3" t="s">
        <v>3291</v>
      </c>
      <c r="AM94" s="3" t="s">
        <v>3292</v>
      </c>
      <c r="AN94" s="3" t="s">
        <v>3293</v>
      </c>
      <c r="AO94" s="3" t="s">
        <v>3294</v>
      </c>
      <c r="AP94" s="3" t="s">
        <v>3295</v>
      </c>
      <c r="AQ94" s="3" t="s">
        <v>3296</v>
      </c>
      <c r="AR94" s="3" t="s">
        <v>3297</v>
      </c>
      <c r="AS94" s="3" t="s">
        <v>969</v>
      </c>
      <c r="AT94" s="3" t="s">
        <v>969</v>
      </c>
      <c r="AU94" s="3" t="s">
        <v>1039</v>
      </c>
      <c r="AV94" s="3" t="s">
        <v>3298</v>
      </c>
      <c r="AW94" s="3" t="s">
        <v>1039</v>
      </c>
      <c r="AX94" s="3" t="s">
        <v>969</v>
      </c>
      <c r="AY94" s="27">
        <v>15.99</v>
      </c>
      <c r="AZ94" s="5" t="s">
        <v>1</v>
      </c>
      <c r="BA94" s="5" t="s">
        <v>43</v>
      </c>
    </row>
    <row r="95" ht="15.75" customHeight="1">
      <c r="A95" s="24"/>
      <c r="B95" s="24">
        <v>122.0</v>
      </c>
      <c r="C95" s="5" t="s">
        <v>1</v>
      </c>
      <c r="D95" s="3" t="s">
        <v>953</v>
      </c>
      <c r="E95" s="25">
        <v>46208.60763888889</v>
      </c>
      <c r="F95" s="3" t="s">
        <v>3299</v>
      </c>
      <c r="G95" s="3" t="s">
        <v>3300</v>
      </c>
      <c r="H95" s="3" t="s">
        <v>796</v>
      </c>
      <c r="I95" s="3" t="s">
        <v>796</v>
      </c>
      <c r="J95" s="3" t="s">
        <v>3301</v>
      </c>
      <c r="K95" s="3" t="s">
        <v>1128</v>
      </c>
      <c r="L95" s="3" t="s">
        <v>3302</v>
      </c>
      <c r="M95" s="26">
        <v>36005.0</v>
      </c>
      <c r="N95" s="3" t="s">
        <v>3303</v>
      </c>
      <c r="O95" s="3" t="s">
        <v>3304</v>
      </c>
      <c r="P95" s="3" t="s">
        <v>3305</v>
      </c>
      <c r="Q95" s="3" t="s">
        <v>3306</v>
      </c>
      <c r="R95" s="4"/>
      <c r="S95" s="3" t="s">
        <v>3307</v>
      </c>
      <c r="T95" s="3" t="s">
        <v>3308</v>
      </c>
      <c r="U95" s="3" t="s">
        <v>1050</v>
      </c>
      <c r="V95" s="3" t="s">
        <v>3309</v>
      </c>
      <c r="W95" s="3" t="s">
        <v>3310</v>
      </c>
      <c r="X95" s="3" t="s">
        <v>3311</v>
      </c>
      <c r="Y95" s="3" t="s">
        <v>969</v>
      </c>
      <c r="Z95" s="3" t="s">
        <v>1128</v>
      </c>
      <c r="AA95" s="3" t="s">
        <v>971</v>
      </c>
      <c r="AB95" s="4"/>
      <c r="AC95" s="3" t="s">
        <v>969</v>
      </c>
      <c r="AD95" s="3" t="s">
        <v>3312</v>
      </c>
      <c r="AE95" s="3" t="s">
        <v>3313</v>
      </c>
      <c r="AF95" s="3" t="s">
        <v>3314</v>
      </c>
      <c r="AG95" s="3" t="s">
        <v>1030</v>
      </c>
      <c r="AH95" s="3" t="s">
        <v>969</v>
      </c>
      <c r="AI95" s="3" t="s">
        <v>3315</v>
      </c>
      <c r="AJ95" s="3" t="s">
        <v>3316</v>
      </c>
      <c r="AK95" s="3" t="s">
        <v>3317</v>
      </c>
      <c r="AL95" s="3" t="s">
        <v>3318</v>
      </c>
      <c r="AM95" s="3" t="s">
        <v>3319</v>
      </c>
      <c r="AN95" s="3" t="s">
        <v>3320</v>
      </c>
      <c r="AO95" s="3" t="s">
        <v>3321</v>
      </c>
      <c r="AP95" s="3" t="s">
        <v>3322</v>
      </c>
      <c r="AQ95" s="3" t="s">
        <v>3323</v>
      </c>
      <c r="AR95" s="3" t="s">
        <v>3324</v>
      </c>
      <c r="AS95" s="3" t="s">
        <v>969</v>
      </c>
      <c r="AT95" s="3" t="s">
        <v>969</v>
      </c>
      <c r="AU95" s="3" t="s">
        <v>1039</v>
      </c>
      <c r="AV95" s="3" t="s">
        <v>3325</v>
      </c>
      <c r="AW95" s="3" t="s">
        <v>3326</v>
      </c>
      <c r="AX95" s="3" t="s">
        <v>969</v>
      </c>
      <c r="AY95" s="27">
        <v>15.99</v>
      </c>
      <c r="AZ95" s="5" t="s">
        <v>1</v>
      </c>
      <c r="BA95" s="5" t="s">
        <v>22</v>
      </c>
    </row>
    <row r="96" ht="15.75" customHeight="1">
      <c r="A96" s="24"/>
      <c r="B96" s="24">
        <v>118.0</v>
      </c>
      <c r="C96" s="5" t="s">
        <v>1</v>
      </c>
      <c r="D96" s="3" t="s">
        <v>953</v>
      </c>
      <c r="E96" s="25">
        <v>46208.16180555556</v>
      </c>
      <c r="F96" s="3" t="s">
        <v>200</v>
      </c>
      <c r="G96" s="3" t="s">
        <v>3327</v>
      </c>
      <c r="H96" s="3" t="s">
        <v>772</v>
      </c>
      <c r="I96" s="3" t="s">
        <v>772</v>
      </c>
      <c r="J96" s="3" t="s">
        <v>3328</v>
      </c>
      <c r="K96" s="3" t="s">
        <v>1916</v>
      </c>
      <c r="L96" s="3" t="s">
        <v>3329</v>
      </c>
      <c r="M96" s="26">
        <v>32051.0</v>
      </c>
      <c r="N96" s="3" t="s">
        <v>3330</v>
      </c>
      <c r="O96" s="3" t="s">
        <v>3331</v>
      </c>
      <c r="P96" s="4"/>
      <c r="Q96" s="3" t="s">
        <v>3332</v>
      </c>
      <c r="R96" s="4"/>
      <c r="S96" s="3" t="s">
        <v>3333</v>
      </c>
      <c r="T96" s="3" t="s">
        <v>3334</v>
      </c>
      <c r="U96" s="3" t="s">
        <v>1050</v>
      </c>
      <c r="V96" s="3" t="s">
        <v>3335</v>
      </c>
      <c r="W96" s="3" t="s">
        <v>3336</v>
      </c>
      <c r="X96" s="3" t="s">
        <v>3337</v>
      </c>
      <c r="Y96" s="3" t="s">
        <v>969</v>
      </c>
      <c r="Z96" s="3" t="s">
        <v>3050</v>
      </c>
      <c r="AA96" s="3" t="s">
        <v>971</v>
      </c>
      <c r="AB96" s="4"/>
      <c r="AC96" s="4"/>
      <c r="AD96" s="3" t="s">
        <v>3338</v>
      </c>
      <c r="AE96" s="3" t="s">
        <v>3339</v>
      </c>
      <c r="AF96" s="3" t="s">
        <v>3340</v>
      </c>
      <c r="AG96" s="3" t="s">
        <v>1302</v>
      </c>
      <c r="AH96" s="3" t="s">
        <v>971</v>
      </c>
      <c r="AI96" s="3" t="s">
        <v>3341</v>
      </c>
      <c r="AJ96" s="3" t="s">
        <v>971</v>
      </c>
      <c r="AK96" s="3" t="s">
        <v>3341</v>
      </c>
      <c r="AL96" s="3" t="s">
        <v>3342</v>
      </c>
      <c r="AM96" s="3" t="s">
        <v>3343</v>
      </c>
      <c r="AN96" s="3" t="s">
        <v>3344</v>
      </c>
      <c r="AO96" s="3" t="s">
        <v>1928</v>
      </c>
      <c r="AP96" s="3" t="s">
        <v>3345</v>
      </c>
      <c r="AQ96" s="3" t="s">
        <v>3346</v>
      </c>
      <c r="AR96" s="3" t="s">
        <v>3347</v>
      </c>
      <c r="AS96" s="3" t="s">
        <v>969</v>
      </c>
      <c r="AT96" s="3" t="s">
        <v>969</v>
      </c>
      <c r="AU96" s="3" t="s">
        <v>1039</v>
      </c>
      <c r="AV96" s="3" t="s">
        <v>3348</v>
      </c>
      <c r="AW96" s="42" t="s">
        <v>3349</v>
      </c>
      <c r="AX96" s="3" t="s">
        <v>969</v>
      </c>
      <c r="AY96" s="27">
        <v>15.99</v>
      </c>
      <c r="AZ96" s="5" t="s">
        <v>1</v>
      </c>
      <c r="BA96" s="5" t="s">
        <v>22</v>
      </c>
    </row>
    <row r="97" ht="15.75" customHeight="1">
      <c r="A97" s="24"/>
      <c r="B97" s="24">
        <v>93.0</v>
      </c>
      <c r="C97" s="5" t="s">
        <v>1</v>
      </c>
      <c r="D97" s="3" t="s">
        <v>953</v>
      </c>
      <c r="E97" s="25">
        <v>46204.59305555555</v>
      </c>
      <c r="F97" s="3" t="s">
        <v>3350</v>
      </c>
      <c r="G97" s="3" t="s">
        <v>3350</v>
      </c>
      <c r="H97" s="3" t="s">
        <v>511</v>
      </c>
      <c r="I97" s="3" t="s">
        <v>3351</v>
      </c>
      <c r="J97" s="3" t="s">
        <v>3352</v>
      </c>
      <c r="K97" s="3" t="s">
        <v>1690</v>
      </c>
      <c r="L97" s="3" t="s">
        <v>3353</v>
      </c>
      <c r="M97" s="26">
        <v>37148.0</v>
      </c>
      <c r="N97" s="3" t="s">
        <v>3354</v>
      </c>
      <c r="O97" s="3" t="s">
        <v>3355</v>
      </c>
      <c r="P97" s="3" t="s">
        <v>3356</v>
      </c>
      <c r="Q97" s="4"/>
      <c r="R97" s="4"/>
      <c r="S97" s="3" t="s">
        <v>3357</v>
      </c>
      <c r="T97" s="3" t="s">
        <v>3358</v>
      </c>
      <c r="U97" s="3" t="s">
        <v>1124</v>
      </c>
      <c r="V97" s="3" t="s">
        <v>3359</v>
      </c>
      <c r="W97" s="4"/>
      <c r="X97" s="3" t="s">
        <v>3360</v>
      </c>
      <c r="Y97" s="3" t="s">
        <v>969</v>
      </c>
      <c r="Z97" s="3" t="s">
        <v>1690</v>
      </c>
      <c r="AA97" s="3" t="s">
        <v>971</v>
      </c>
      <c r="AB97" s="4"/>
      <c r="AC97" s="4"/>
      <c r="AD97" s="3" t="s">
        <v>3361</v>
      </c>
      <c r="AE97" s="3" t="s">
        <v>3362</v>
      </c>
      <c r="AF97" s="3" t="s">
        <v>1250</v>
      </c>
      <c r="AG97" s="3" t="s">
        <v>3341</v>
      </c>
      <c r="AH97" s="3" t="s">
        <v>971</v>
      </c>
      <c r="AI97" s="4"/>
      <c r="AJ97" s="4"/>
      <c r="AK97" s="4"/>
      <c r="AL97" s="3" t="s">
        <v>3363</v>
      </c>
      <c r="AM97" s="3" t="s">
        <v>3364</v>
      </c>
      <c r="AN97" s="3" t="s">
        <v>3365</v>
      </c>
      <c r="AO97" s="3" t="s">
        <v>3366</v>
      </c>
      <c r="AP97" s="3" t="s">
        <v>3367</v>
      </c>
      <c r="AQ97" s="3" t="s">
        <v>3368</v>
      </c>
      <c r="AR97" s="3" t="s">
        <v>3369</v>
      </c>
      <c r="AS97" s="3" t="s">
        <v>969</v>
      </c>
      <c r="AT97" s="3" t="s">
        <v>969</v>
      </c>
      <c r="AU97" s="3" t="s">
        <v>1039</v>
      </c>
      <c r="AV97" s="3" t="s">
        <v>3370</v>
      </c>
      <c r="AW97" s="4"/>
      <c r="AX97" s="3" t="s">
        <v>969</v>
      </c>
      <c r="AY97" s="27">
        <v>15.99</v>
      </c>
      <c r="AZ97" s="5" t="s">
        <v>1</v>
      </c>
      <c r="BA97" s="5" t="s">
        <v>162</v>
      </c>
    </row>
    <row r="98" ht="15.75" customHeight="1">
      <c r="A98" s="24"/>
      <c r="B98" s="24">
        <v>92.0</v>
      </c>
      <c r="C98" s="5" t="s">
        <v>1</v>
      </c>
      <c r="D98" s="3" t="s">
        <v>953</v>
      </c>
      <c r="E98" s="25">
        <v>46204.58333333334</v>
      </c>
      <c r="F98" s="3" t="s">
        <v>3371</v>
      </c>
      <c r="G98" s="3" t="s">
        <v>3371</v>
      </c>
      <c r="H98" s="3" t="s">
        <v>526</v>
      </c>
      <c r="I98" s="3" t="s">
        <v>3372</v>
      </c>
      <c r="J98" s="3" t="s">
        <v>3373</v>
      </c>
      <c r="K98" s="3" t="s">
        <v>2348</v>
      </c>
      <c r="L98" s="3" t="s">
        <v>3374</v>
      </c>
      <c r="M98" s="26">
        <v>37899.0</v>
      </c>
      <c r="N98" s="3" t="s">
        <v>3375</v>
      </c>
      <c r="O98" s="3" t="s">
        <v>3376</v>
      </c>
      <c r="P98" s="3" t="s">
        <v>3377</v>
      </c>
      <c r="Q98" s="4"/>
      <c r="R98" s="4"/>
      <c r="S98" s="3" t="s">
        <v>1605</v>
      </c>
      <c r="T98" s="3" t="s">
        <v>3378</v>
      </c>
      <c r="U98" s="3" t="s">
        <v>1396</v>
      </c>
      <c r="V98" s="3" t="s">
        <v>1185</v>
      </c>
      <c r="W98" s="3" t="s">
        <v>3379</v>
      </c>
      <c r="X98" s="3" t="s">
        <v>3380</v>
      </c>
      <c r="Y98" s="3" t="s">
        <v>969</v>
      </c>
      <c r="Z98" s="3" t="s">
        <v>3381</v>
      </c>
      <c r="AA98" s="3" t="s">
        <v>971</v>
      </c>
      <c r="AB98" s="4"/>
      <c r="AC98" s="3" t="s">
        <v>969</v>
      </c>
      <c r="AD98" s="3" t="s">
        <v>3382</v>
      </c>
      <c r="AE98" s="4"/>
      <c r="AF98" s="3" t="s">
        <v>3383</v>
      </c>
      <c r="AG98" s="4"/>
      <c r="AH98" s="3" t="s">
        <v>971</v>
      </c>
      <c r="AI98" s="4"/>
      <c r="AJ98" s="4"/>
      <c r="AK98" s="4"/>
      <c r="AL98" s="3" t="s">
        <v>3384</v>
      </c>
      <c r="AM98" s="3" t="s">
        <v>3385</v>
      </c>
      <c r="AN98" s="3" t="s">
        <v>3386</v>
      </c>
      <c r="AO98" s="3" t="s">
        <v>3387</v>
      </c>
      <c r="AP98" s="3" t="s">
        <v>3388</v>
      </c>
      <c r="AQ98" s="3" t="s">
        <v>3389</v>
      </c>
      <c r="AR98" s="3" t="s">
        <v>3390</v>
      </c>
      <c r="AS98" s="3" t="s">
        <v>969</v>
      </c>
      <c r="AT98" s="3" t="s">
        <v>969</v>
      </c>
      <c r="AU98" s="3" t="s">
        <v>1039</v>
      </c>
      <c r="AV98" s="3" t="s">
        <v>3391</v>
      </c>
      <c r="AW98" s="4"/>
      <c r="AX98" s="3" t="s">
        <v>969</v>
      </c>
      <c r="AY98" s="27">
        <v>15.99</v>
      </c>
      <c r="AZ98" s="5" t="s">
        <v>1</v>
      </c>
      <c r="BA98" s="5" t="s">
        <v>22</v>
      </c>
    </row>
    <row r="99" ht="15.75" customHeight="1">
      <c r="A99" s="24"/>
      <c r="B99" s="24">
        <v>81.0</v>
      </c>
      <c r="C99" s="5" t="s">
        <v>1</v>
      </c>
      <c r="D99" s="3" t="s">
        <v>953</v>
      </c>
      <c r="E99" s="25">
        <v>46202.15902777778</v>
      </c>
      <c r="F99" s="3" t="s">
        <v>3392</v>
      </c>
      <c r="G99" s="3" t="s">
        <v>3393</v>
      </c>
      <c r="H99" s="3" t="s">
        <v>466</v>
      </c>
      <c r="I99" s="3" t="s">
        <v>3394</v>
      </c>
      <c r="J99" s="42" t="s">
        <v>3395</v>
      </c>
      <c r="K99" s="3" t="s">
        <v>3396</v>
      </c>
      <c r="L99" s="3" t="s">
        <v>3397</v>
      </c>
      <c r="M99" s="26">
        <v>37606.0</v>
      </c>
      <c r="N99" s="3" t="s">
        <v>3398</v>
      </c>
      <c r="O99" s="3" t="s">
        <v>3399</v>
      </c>
      <c r="P99" s="4"/>
      <c r="Q99" s="4"/>
      <c r="R99" s="4"/>
      <c r="S99" s="3" t="s">
        <v>3400</v>
      </c>
      <c r="T99" s="3" t="s">
        <v>3401</v>
      </c>
      <c r="U99" s="3" t="s">
        <v>3402</v>
      </c>
      <c r="V99" s="3" t="s">
        <v>3403</v>
      </c>
      <c r="W99" s="3" t="s">
        <v>3404</v>
      </c>
      <c r="X99" s="3" t="s">
        <v>3405</v>
      </c>
      <c r="Y99" s="3" t="s">
        <v>969</v>
      </c>
      <c r="Z99" s="3" t="s">
        <v>2753</v>
      </c>
      <c r="AA99" s="3" t="s">
        <v>971</v>
      </c>
      <c r="AB99" s="4"/>
      <c r="AC99" s="3" t="s">
        <v>969</v>
      </c>
      <c r="AD99" s="3" t="s">
        <v>3406</v>
      </c>
      <c r="AE99" s="4"/>
      <c r="AF99" s="3" t="s">
        <v>3407</v>
      </c>
      <c r="AG99" s="3" t="s">
        <v>3408</v>
      </c>
      <c r="AH99" s="3" t="s">
        <v>971</v>
      </c>
      <c r="AI99" s="4"/>
      <c r="AJ99" s="3" t="s">
        <v>3409</v>
      </c>
      <c r="AK99" s="3" t="s">
        <v>3410</v>
      </c>
      <c r="AL99" s="3" t="s">
        <v>3411</v>
      </c>
      <c r="AM99" s="3" t="s">
        <v>3412</v>
      </c>
      <c r="AN99" s="3" t="s">
        <v>3413</v>
      </c>
      <c r="AO99" s="3" t="s">
        <v>3414</v>
      </c>
      <c r="AP99" s="3" t="s">
        <v>3415</v>
      </c>
      <c r="AQ99" s="3" t="s">
        <v>3416</v>
      </c>
      <c r="AR99" s="3" t="s">
        <v>3417</v>
      </c>
      <c r="AS99" s="3" t="s">
        <v>969</v>
      </c>
      <c r="AT99" s="3" t="s">
        <v>969</v>
      </c>
      <c r="AU99" s="3" t="s">
        <v>1039</v>
      </c>
      <c r="AV99" s="3" t="s">
        <v>2889</v>
      </c>
      <c r="AW99" s="3" t="s">
        <v>3418</v>
      </c>
      <c r="AX99" s="3" t="s">
        <v>969</v>
      </c>
      <c r="AY99" s="27">
        <v>15.99</v>
      </c>
      <c r="AZ99" s="5" t="s">
        <v>1</v>
      </c>
      <c r="BA99" s="5" t="s">
        <v>22</v>
      </c>
    </row>
    <row r="100" ht="15.75" customHeight="1">
      <c r="A100" s="24"/>
      <c r="B100" s="24">
        <v>72.0</v>
      </c>
      <c r="C100" s="5" t="s">
        <v>1</v>
      </c>
      <c r="D100" s="3" t="s">
        <v>953</v>
      </c>
      <c r="E100" s="25">
        <v>46198.50694444445</v>
      </c>
      <c r="F100" s="3" t="s">
        <v>118</v>
      </c>
      <c r="G100" s="3" t="s">
        <v>3419</v>
      </c>
      <c r="H100" s="3" t="s">
        <v>3420</v>
      </c>
      <c r="I100" s="3" t="s">
        <v>3421</v>
      </c>
      <c r="J100" s="3" t="s">
        <v>3422</v>
      </c>
      <c r="K100" s="3" t="s">
        <v>2188</v>
      </c>
      <c r="L100" s="3" t="s">
        <v>3423</v>
      </c>
      <c r="M100" s="26">
        <v>38797.0</v>
      </c>
      <c r="N100" s="3" t="s">
        <v>3424</v>
      </c>
      <c r="O100" s="3" t="s">
        <v>3425</v>
      </c>
      <c r="P100" s="4"/>
      <c r="Q100" s="4"/>
      <c r="R100" s="4"/>
      <c r="S100" s="3" t="s">
        <v>1605</v>
      </c>
      <c r="T100" s="3" t="s">
        <v>3426</v>
      </c>
      <c r="U100" s="3" t="s">
        <v>3427</v>
      </c>
      <c r="V100" s="3" t="s">
        <v>3428</v>
      </c>
      <c r="W100" s="3" t="s">
        <v>3429</v>
      </c>
      <c r="X100" s="3" t="s">
        <v>3430</v>
      </c>
      <c r="Y100" s="3" t="s">
        <v>969</v>
      </c>
      <c r="Z100" s="3" t="s">
        <v>1952</v>
      </c>
      <c r="AA100" s="3" t="s">
        <v>971</v>
      </c>
      <c r="AB100" s="4"/>
      <c r="AC100" s="3" t="s">
        <v>6</v>
      </c>
      <c r="AD100" s="3" t="s">
        <v>3431</v>
      </c>
      <c r="AE100" s="3" t="s">
        <v>3432</v>
      </c>
      <c r="AF100" s="3" t="s">
        <v>1250</v>
      </c>
      <c r="AG100" s="3" t="s">
        <v>3433</v>
      </c>
      <c r="AH100" s="3" t="s">
        <v>971</v>
      </c>
      <c r="AI100" s="4"/>
      <c r="AJ100" s="4"/>
      <c r="AK100" s="4"/>
      <c r="AL100" s="3" t="s">
        <v>3434</v>
      </c>
      <c r="AM100" s="3" t="s">
        <v>3435</v>
      </c>
      <c r="AN100" s="3" t="s">
        <v>3436</v>
      </c>
      <c r="AO100" s="3" t="s">
        <v>3437</v>
      </c>
      <c r="AP100" s="3" t="s">
        <v>3438</v>
      </c>
      <c r="AQ100" s="3" t="s">
        <v>3439</v>
      </c>
      <c r="AR100" s="3" t="s">
        <v>3440</v>
      </c>
      <c r="AS100" s="3" t="s">
        <v>969</v>
      </c>
      <c r="AT100" s="3" t="s">
        <v>969</v>
      </c>
      <c r="AU100" s="3" t="s">
        <v>1039</v>
      </c>
      <c r="AV100" s="3" t="s">
        <v>1261</v>
      </c>
      <c r="AW100" s="3" t="s">
        <v>1499</v>
      </c>
      <c r="AX100" s="3" t="s">
        <v>969</v>
      </c>
      <c r="AY100" s="27">
        <v>15.99</v>
      </c>
      <c r="AZ100" s="5" t="s">
        <v>1</v>
      </c>
      <c r="BA100" s="5" t="s">
        <v>43</v>
      </c>
    </row>
    <row r="101" ht="15.75" customHeight="1">
      <c r="A101" s="24"/>
      <c r="B101" s="24">
        <v>71.0</v>
      </c>
      <c r="C101" s="5" t="s">
        <v>1</v>
      </c>
      <c r="D101" s="3" t="s">
        <v>953</v>
      </c>
      <c r="E101" s="25">
        <v>46198.42847222222</v>
      </c>
      <c r="F101" s="3" t="s">
        <v>116</v>
      </c>
      <c r="G101" s="3" t="s">
        <v>116</v>
      </c>
      <c r="H101" s="3" t="s">
        <v>3441</v>
      </c>
      <c r="I101" s="3" t="s">
        <v>3442</v>
      </c>
      <c r="J101" s="3" t="s">
        <v>3443</v>
      </c>
      <c r="K101" s="3" t="s">
        <v>1128</v>
      </c>
      <c r="L101" s="3" t="s">
        <v>3444</v>
      </c>
      <c r="M101" s="26">
        <v>32548.0</v>
      </c>
      <c r="N101" s="3" t="s">
        <v>3445</v>
      </c>
      <c r="O101" s="3" t="s">
        <v>3446</v>
      </c>
      <c r="P101" s="4"/>
      <c r="Q101" s="4"/>
      <c r="R101" s="3" t="s">
        <v>3447</v>
      </c>
      <c r="S101" s="3" t="s">
        <v>3448</v>
      </c>
      <c r="T101" s="3" t="s">
        <v>3449</v>
      </c>
      <c r="U101" s="3" t="s">
        <v>3233</v>
      </c>
      <c r="V101" s="3" t="s">
        <v>3450</v>
      </c>
      <c r="W101" s="3" t="s">
        <v>3451</v>
      </c>
      <c r="X101" s="3" t="s">
        <v>3452</v>
      </c>
      <c r="Y101" s="3" t="s">
        <v>969</v>
      </c>
      <c r="Z101" s="3" t="s">
        <v>1128</v>
      </c>
      <c r="AA101" s="3" t="s">
        <v>969</v>
      </c>
      <c r="AB101" s="3" t="s">
        <v>3453</v>
      </c>
      <c r="AC101" s="3" t="s">
        <v>969</v>
      </c>
      <c r="AD101" s="3" t="s">
        <v>966</v>
      </c>
      <c r="AE101" s="4"/>
      <c r="AF101" s="4"/>
      <c r="AG101" s="4"/>
      <c r="AH101" s="3" t="s">
        <v>969</v>
      </c>
      <c r="AI101" s="3" t="s">
        <v>1669</v>
      </c>
      <c r="AJ101" s="3" t="s">
        <v>966</v>
      </c>
      <c r="AK101" s="4"/>
      <c r="AL101" s="3" t="s">
        <v>1669</v>
      </c>
      <c r="AM101" s="3" t="s">
        <v>3454</v>
      </c>
      <c r="AN101" s="3" t="s">
        <v>3455</v>
      </c>
      <c r="AO101" s="3" t="s">
        <v>3456</v>
      </c>
      <c r="AP101" s="3" t="s">
        <v>3457</v>
      </c>
      <c r="AQ101" s="3" t="s">
        <v>3458</v>
      </c>
      <c r="AR101" s="3" t="s">
        <v>3459</v>
      </c>
      <c r="AS101" s="3" t="s">
        <v>969</v>
      </c>
      <c r="AT101" s="3" t="s">
        <v>969</v>
      </c>
      <c r="AU101" s="3" t="s">
        <v>1039</v>
      </c>
      <c r="AV101" s="3" t="s">
        <v>3460</v>
      </c>
      <c r="AW101" s="3" t="s">
        <v>3461</v>
      </c>
      <c r="AX101" s="3" t="s">
        <v>969</v>
      </c>
      <c r="AY101" s="27">
        <v>15.99</v>
      </c>
      <c r="AZ101" s="5" t="s">
        <v>1</v>
      </c>
      <c r="BA101" s="5" t="s">
        <v>22</v>
      </c>
    </row>
    <row r="102" ht="15.75" customHeight="1">
      <c r="A102" s="24"/>
      <c r="B102" s="24">
        <v>66.0</v>
      </c>
      <c r="C102" s="5" t="s">
        <v>1</v>
      </c>
      <c r="D102" s="3" t="s">
        <v>953</v>
      </c>
      <c r="E102" s="25">
        <v>46197.07847222222</v>
      </c>
      <c r="F102" s="3" t="s">
        <v>105</v>
      </c>
      <c r="G102" s="3" t="s">
        <v>3462</v>
      </c>
      <c r="H102" s="3" t="s">
        <v>106</v>
      </c>
      <c r="I102" s="3" t="s">
        <v>3463</v>
      </c>
      <c r="J102" s="3" t="s">
        <v>3464</v>
      </c>
      <c r="K102" s="3" t="s">
        <v>2348</v>
      </c>
      <c r="L102" s="3" t="s">
        <v>3465</v>
      </c>
      <c r="M102" s="26">
        <v>37930.0</v>
      </c>
      <c r="N102" s="3" t="s">
        <v>3466</v>
      </c>
      <c r="O102" s="3" t="s">
        <v>3467</v>
      </c>
      <c r="P102" s="4"/>
      <c r="Q102" s="3" t="s">
        <v>3468</v>
      </c>
      <c r="R102" s="4"/>
      <c r="S102" s="3" t="s">
        <v>3469</v>
      </c>
      <c r="T102" s="3" t="s">
        <v>3470</v>
      </c>
      <c r="U102" s="3" t="s">
        <v>1271</v>
      </c>
      <c r="V102" s="3" t="s">
        <v>3471</v>
      </c>
      <c r="W102" s="3" t="s">
        <v>3472</v>
      </c>
      <c r="X102" s="3" t="s">
        <v>3473</v>
      </c>
      <c r="Y102" s="3" t="s">
        <v>969</v>
      </c>
      <c r="Z102" s="3" t="s">
        <v>2332</v>
      </c>
      <c r="AA102" s="3" t="s">
        <v>971</v>
      </c>
      <c r="AB102" s="3" t="s">
        <v>3473</v>
      </c>
      <c r="AC102" s="3" t="s">
        <v>969</v>
      </c>
      <c r="AD102" s="3" t="s">
        <v>971</v>
      </c>
      <c r="AE102" s="3" t="s">
        <v>2564</v>
      </c>
      <c r="AF102" s="3" t="s">
        <v>1684</v>
      </c>
      <c r="AG102" s="3" t="s">
        <v>3341</v>
      </c>
      <c r="AH102" s="3" t="s">
        <v>971</v>
      </c>
      <c r="AI102" s="3" t="s">
        <v>1684</v>
      </c>
      <c r="AJ102" s="3" t="s">
        <v>971</v>
      </c>
      <c r="AK102" s="3" t="s">
        <v>1684</v>
      </c>
      <c r="AL102" s="3" t="s">
        <v>3474</v>
      </c>
      <c r="AM102" s="3" t="s">
        <v>3475</v>
      </c>
      <c r="AN102" s="3" t="s">
        <v>3476</v>
      </c>
      <c r="AO102" s="3" t="s">
        <v>3477</v>
      </c>
      <c r="AP102" s="3" t="s">
        <v>3478</v>
      </c>
      <c r="AQ102" s="3" t="s">
        <v>3479</v>
      </c>
      <c r="AR102" s="3" t="s">
        <v>3480</v>
      </c>
      <c r="AS102" s="3" t="s">
        <v>969</v>
      </c>
      <c r="AT102" s="3" t="s">
        <v>969</v>
      </c>
      <c r="AU102" s="3" t="s">
        <v>1039</v>
      </c>
      <c r="AV102" s="3" t="s">
        <v>1649</v>
      </c>
      <c r="AW102" s="3" t="s">
        <v>3481</v>
      </c>
      <c r="AX102" s="3" t="s">
        <v>969</v>
      </c>
      <c r="AY102" s="27">
        <v>15.99</v>
      </c>
      <c r="AZ102" s="5" t="s">
        <v>1</v>
      </c>
      <c r="BA102" s="5" t="s">
        <v>7</v>
      </c>
    </row>
    <row r="103" ht="15.75" customHeight="1">
      <c r="A103" s="24"/>
      <c r="B103" s="24">
        <v>62.0</v>
      </c>
      <c r="C103" s="5" t="s">
        <v>1</v>
      </c>
      <c r="D103" s="3" t="s">
        <v>953</v>
      </c>
      <c r="E103" s="25">
        <v>46195.89236111111</v>
      </c>
      <c r="F103" s="3" t="s">
        <v>3482</v>
      </c>
      <c r="G103" s="3" t="s">
        <v>3482</v>
      </c>
      <c r="H103" s="3" t="s">
        <v>777</v>
      </c>
      <c r="I103" s="3" t="s">
        <v>3483</v>
      </c>
      <c r="J103" s="3" t="s">
        <v>3484</v>
      </c>
      <c r="K103" s="3" t="s">
        <v>3485</v>
      </c>
      <c r="L103" s="3" t="s">
        <v>3486</v>
      </c>
      <c r="M103" s="26">
        <v>32696.0</v>
      </c>
      <c r="N103" s="3" t="s">
        <v>3487</v>
      </c>
      <c r="O103" s="3" t="s">
        <v>3488</v>
      </c>
      <c r="P103" s="3" t="s">
        <v>3482</v>
      </c>
      <c r="Q103" s="3" t="s">
        <v>3489</v>
      </c>
      <c r="R103" s="3" t="s">
        <v>3489</v>
      </c>
      <c r="S103" s="3" t="s">
        <v>3490</v>
      </c>
      <c r="T103" s="3" t="s">
        <v>3491</v>
      </c>
      <c r="U103" s="3" t="s">
        <v>1124</v>
      </c>
      <c r="V103" s="3" t="s">
        <v>1715</v>
      </c>
      <c r="W103" s="3" t="s">
        <v>3492</v>
      </c>
      <c r="X103" s="3" t="s">
        <v>3493</v>
      </c>
      <c r="Y103" s="3" t="s">
        <v>971</v>
      </c>
      <c r="Z103" s="3" t="s">
        <v>1425</v>
      </c>
      <c r="AA103" s="3" t="s">
        <v>971</v>
      </c>
      <c r="AB103" s="3" t="s">
        <v>3493</v>
      </c>
      <c r="AC103" s="3" t="s">
        <v>969</v>
      </c>
      <c r="AD103" s="3" t="s">
        <v>3494</v>
      </c>
      <c r="AE103" s="4"/>
      <c r="AF103" s="4"/>
      <c r="AG103" s="4"/>
      <c r="AH103" s="3" t="s">
        <v>969</v>
      </c>
      <c r="AI103" s="3" t="s">
        <v>3495</v>
      </c>
      <c r="AJ103" s="4"/>
      <c r="AK103" s="4"/>
      <c r="AL103" s="3" t="s">
        <v>3496</v>
      </c>
      <c r="AM103" s="3" t="s">
        <v>3497</v>
      </c>
      <c r="AN103" s="3" t="s">
        <v>3498</v>
      </c>
      <c r="AO103" s="3" t="s">
        <v>3499</v>
      </c>
      <c r="AP103" s="3" t="s">
        <v>3500</v>
      </c>
      <c r="AQ103" s="3" t="s">
        <v>3501</v>
      </c>
      <c r="AR103" s="3" t="s">
        <v>3502</v>
      </c>
      <c r="AS103" s="3" t="s">
        <v>969</v>
      </c>
      <c r="AT103" s="3" t="s">
        <v>969</v>
      </c>
      <c r="AU103" s="3" t="s">
        <v>1039</v>
      </c>
      <c r="AV103" s="3" t="s">
        <v>3503</v>
      </c>
      <c r="AW103" s="3" t="s">
        <v>3504</v>
      </c>
      <c r="AX103" s="3" t="s">
        <v>969</v>
      </c>
      <c r="AY103" s="27">
        <v>15.99</v>
      </c>
      <c r="AZ103" s="5" t="s">
        <v>1</v>
      </c>
      <c r="BA103" s="5" t="s">
        <v>22</v>
      </c>
    </row>
    <row r="104" ht="15.75" customHeight="1">
      <c r="A104" s="24"/>
      <c r="B104" s="24">
        <v>61.0</v>
      </c>
      <c r="C104" s="5" t="s">
        <v>1</v>
      </c>
      <c r="D104" s="3" t="s">
        <v>953</v>
      </c>
      <c r="E104" s="25">
        <v>46195.18958333333</v>
      </c>
      <c r="F104" s="3" t="s">
        <v>3505</v>
      </c>
      <c r="G104" s="3" t="s">
        <v>3505</v>
      </c>
      <c r="H104" s="3" t="s">
        <v>692</v>
      </c>
      <c r="I104" s="3" t="s">
        <v>3506</v>
      </c>
      <c r="J104" s="3" t="s">
        <v>3507</v>
      </c>
      <c r="K104" s="3" t="s">
        <v>2223</v>
      </c>
      <c r="L104" s="3" t="s">
        <v>3508</v>
      </c>
      <c r="M104" s="26">
        <v>34963.0</v>
      </c>
      <c r="N104" s="3" t="s">
        <v>3509</v>
      </c>
      <c r="O104" s="3" t="s">
        <v>3510</v>
      </c>
      <c r="P104" s="4"/>
      <c r="Q104" s="4"/>
      <c r="R104" s="4"/>
      <c r="S104" s="3" t="s">
        <v>3511</v>
      </c>
      <c r="T104" s="3" t="s">
        <v>3512</v>
      </c>
      <c r="U104" s="3" t="s">
        <v>1271</v>
      </c>
      <c r="V104" s="3" t="s">
        <v>2821</v>
      </c>
      <c r="W104" s="3" t="s">
        <v>3513</v>
      </c>
      <c r="X104" s="3" t="s">
        <v>3514</v>
      </c>
      <c r="Y104" s="3" t="s">
        <v>969</v>
      </c>
      <c r="Z104" s="3" t="s">
        <v>1874</v>
      </c>
      <c r="AA104" s="3" t="s">
        <v>969</v>
      </c>
      <c r="AB104" s="3" t="s">
        <v>1583</v>
      </c>
      <c r="AC104" s="3" t="s">
        <v>969</v>
      </c>
      <c r="AD104" s="3" t="s">
        <v>3515</v>
      </c>
      <c r="AE104" s="3" t="s">
        <v>3516</v>
      </c>
      <c r="AF104" s="3" t="s">
        <v>3517</v>
      </c>
      <c r="AG104" s="3" t="s">
        <v>1541</v>
      </c>
      <c r="AH104" s="3" t="s">
        <v>969</v>
      </c>
      <c r="AI104" s="3" t="s">
        <v>3518</v>
      </c>
      <c r="AJ104" s="3" t="s">
        <v>2733</v>
      </c>
      <c r="AK104" s="4"/>
      <c r="AL104" s="3" t="s">
        <v>3519</v>
      </c>
      <c r="AM104" s="3" t="s">
        <v>3520</v>
      </c>
      <c r="AN104" s="3" t="s">
        <v>3521</v>
      </c>
      <c r="AO104" s="3" t="s">
        <v>3522</v>
      </c>
      <c r="AP104" s="3" t="s">
        <v>3523</v>
      </c>
      <c r="AQ104" s="3" t="s">
        <v>3524</v>
      </c>
      <c r="AR104" s="3" t="s">
        <v>3525</v>
      </c>
      <c r="AS104" s="3" t="s">
        <v>969</v>
      </c>
      <c r="AT104" s="3" t="s">
        <v>971</v>
      </c>
      <c r="AU104" s="3" t="s">
        <v>1260</v>
      </c>
      <c r="AV104" s="3" t="s">
        <v>2836</v>
      </c>
      <c r="AW104" s="3" t="s">
        <v>3526</v>
      </c>
      <c r="AX104" s="3" t="s">
        <v>969</v>
      </c>
      <c r="AY104" s="27">
        <v>15.99</v>
      </c>
      <c r="AZ104" s="5" t="s">
        <v>1</v>
      </c>
      <c r="BA104" s="5" t="s">
        <v>22</v>
      </c>
    </row>
    <row r="105" ht="15.75" customHeight="1">
      <c r="A105" s="24"/>
      <c r="B105" s="24">
        <v>59.0</v>
      </c>
      <c r="C105" s="5" t="s">
        <v>1</v>
      </c>
      <c r="D105" s="3" t="s">
        <v>953</v>
      </c>
      <c r="E105" s="25">
        <v>46195.02777777778</v>
      </c>
      <c r="F105" s="3" t="s">
        <v>3527</v>
      </c>
      <c r="G105" s="3" t="s">
        <v>3528</v>
      </c>
      <c r="H105" s="3" t="s">
        <v>462</v>
      </c>
      <c r="I105" s="3" t="s">
        <v>462</v>
      </c>
      <c r="J105" s="3" t="s">
        <v>3529</v>
      </c>
      <c r="K105" s="3" t="s">
        <v>2579</v>
      </c>
      <c r="L105" s="3" t="s">
        <v>3530</v>
      </c>
      <c r="M105" s="26">
        <v>37282.0</v>
      </c>
      <c r="N105" s="3" t="s">
        <v>3531</v>
      </c>
      <c r="O105" s="3" t="s">
        <v>3530</v>
      </c>
      <c r="P105" s="4"/>
      <c r="Q105" s="4"/>
      <c r="R105" s="4"/>
      <c r="S105" s="3" t="s">
        <v>3532</v>
      </c>
      <c r="T105" s="3" t="s">
        <v>3533</v>
      </c>
      <c r="U105" s="3" t="s">
        <v>3534</v>
      </c>
      <c r="V105" s="3" t="s">
        <v>3535</v>
      </c>
      <c r="W105" s="3" t="s">
        <v>3536</v>
      </c>
      <c r="X105" s="3" t="s">
        <v>3537</v>
      </c>
      <c r="Y105" s="3" t="s">
        <v>969</v>
      </c>
      <c r="Z105" s="3" t="s">
        <v>1900</v>
      </c>
      <c r="AA105" s="3" t="s">
        <v>971</v>
      </c>
      <c r="AB105" s="4"/>
      <c r="AC105" s="3" t="s">
        <v>3538</v>
      </c>
      <c r="AD105" s="3" t="s">
        <v>3539</v>
      </c>
      <c r="AE105" s="4"/>
      <c r="AF105" s="3" t="s">
        <v>1250</v>
      </c>
      <c r="AG105" s="3" t="s">
        <v>1904</v>
      </c>
      <c r="AH105" s="3" t="s">
        <v>971</v>
      </c>
      <c r="AI105" s="4"/>
      <c r="AJ105" s="3" t="s">
        <v>971</v>
      </c>
      <c r="AK105" s="4"/>
      <c r="AL105" s="3" t="s">
        <v>3540</v>
      </c>
      <c r="AM105" s="3" t="s">
        <v>3541</v>
      </c>
      <c r="AN105" s="3" t="s">
        <v>3542</v>
      </c>
      <c r="AO105" s="3" t="s">
        <v>3543</v>
      </c>
      <c r="AP105" s="3" t="s">
        <v>3544</v>
      </c>
      <c r="AQ105" s="3" t="s">
        <v>3545</v>
      </c>
      <c r="AR105" s="3" t="s">
        <v>3546</v>
      </c>
      <c r="AS105" s="3" t="s">
        <v>969</v>
      </c>
      <c r="AT105" s="3" t="s">
        <v>969</v>
      </c>
      <c r="AU105" s="3" t="s">
        <v>1409</v>
      </c>
      <c r="AV105" s="3" t="s">
        <v>3547</v>
      </c>
      <c r="AW105" s="3" t="s">
        <v>3548</v>
      </c>
      <c r="AX105" s="3" t="s">
        <v>969</v>
      </c>
      <c r="AY105" s="27">
        <v>15.99</v>
      </c>
      <c r="AZ105" s="5" t="s">
        <v>1</v>
      </c>
      <c r="BA105" s="5" t="s">
        <v>94</v>
      </c>
    </row>
    <row r="106" ht="15.75" customHeight="1">
      <c r="A106" s="24"/>
      <c r="B106" s="24">
        <v>50.0</v>
      </c>
      <c r="C106" s="5" t="s">
        <v>1</v>
      </c>
      <c r="D106" s="3" t="s">
        <v>953</v>
      </c>
      <c r="E106" s="25">
        <v>46191.85833333333</v>
      </c>
      <c r="F106" s="3" t="s">
        <v>869</v>
      </c>
      <c r="G106" s="3" t="s">
        <v>3549</v>
      </c>
      <c r="H106" s="3" t="s">
        <v>75</v>
      </c>
      <c r="I106" s="3" t="s">
        <v>75</v>
      </c>
      <c r="J106" s="3" t="s">
        <v>3550</v>
      </c>
      <c r="K106" s="3" t="s">
        <v>3551</v>
      </c>
      <c r="L106" s="3" t="s">
        <v>3552</v>
      </c>
      <c r="M106" s="26">
        <v>32258.0</v>
      </c>
      <c r="N106" s="3" t="s">
        <v>3553</v>
      </c>
      <c r="O106" s="3" t="s">
        <v>3554</v>
      </c>
      <c r="P106" s="3" t="s">
        <v>3555</v>
      </c>
      <c r="Q106" s="4"/>
      <c r="R106" s="3" t="s">
        <v>3556</v>
      </c>
      <c r="S106" s="3" t="s">
        <v>3557</v>
      </c>
      <c r="T106" s="3" t="s">
        <v>3558</v>
      </c>
      <c r="U106" s="3" t="s">
        <v>1397</v>
      </c>
      <c r="V106" s="3" t="s">
        <v>1101</v>
      </c>
      <c r="W106" s="4"/>
      <c r="X106" s="3" t="s">
        <v>3559</v>
      </c>
      <c r="Y106" s="3" t="s">
        <v>971</v>
      </c>
      <c r="Z106" s="3" t="s">
        <v>2251</v>
      </c>
      <c r="AA106" s="3" t="s">
        <v>969</v>
      </c>
      <c r="AB106" s="3" t="s">
        <v>3560</v>
      </c>
      <c r="AC106" s="3" t="s">
        <v>6</v>
      </c>
      <c r="AD106" s="3" t="s">
        <v>3561</v>
      </c>
      <c r="AE106" s="3" t="s">
        <v>3562</v>
      </c>
      <c r="AF106" s="3" t="s">
        <v>2544</v>
      </c>
      <c r="AG106" s="3" t="s">
        <v>3563</v>
      </c>
      <c r="AH106" s="3" t="s">
        <v>971</v>
      </c>
      <c r="AI106" s="4"/>
      <c r="AJ106" s="4"/>
      <c r="AK106" s="4"/>
      <c r="AL106" s="3" t="s">
        <v>3564</v>
      </c>
      <c r="AM106" s="3" t="s">
        <v>3565</v>
      </c>
      <c r="AN106" s="3" t="s">
        <v>3566</v>
      </c>
      <c r="AO106" s="3" t="s">
        <v>3567</v>
      </c>
      <c r="AP106" s="3" t="s">
        <v>3568</v>
      </c>
      <c r="AQ106" s="3" t="s">
        <v>3569</v>
      </c>
      <c r="AR106" s="3" t="s">
        <v>3570</v>
      </c>
      <c r="AS106" s="3" t="s">
        <v>969</v>
      </c>
      <c r="AT106" s="3" t="s">
        <v>969</v>
      </c>
      <c r="AU106" s="3" t="s">
        <v>1039</v>
      </c>
      <c r="AV106" s="3" t="s">
        <v>2836</v>
      </c>
      <c r="AW106" s="3" t="s">
        <v>3571</v>
      </c>
      <c r="AX106" s="3" t="s">
        <v>969</v>
      </c>
      <c r="AY106" s="27">
        <v>15.99</v>
      </c>
      <c r="AZ106" s="5" t="s">
        <v>1</v>
      </c>
      <c r="BA106" s="5" t="s">
        <v>43</v>
      </c>
    </row>
    <row r="107" ht="15.75" customHeight="1">
      <c r="A107" s="24"/>
      <c r="B107" s="24">
        <v>44.0</v>
      </c>
      <c r="C107" s="5" t="s">
        <v>1</v>
      </c>
      <c r="D107" s="3" t="s">
        <v>953</v>
      </c>
      <c r="E107" s="25">
        <v>46189.75902777778</v>
      </c>
      <c r="F107" s="3" t="s">
        <v>65</v>
      </c>
      <c r="G107" s="3" t="s">
        <v>65</v>
      </c>
      <c r="H107" s="3" t="s">
        <v>767</v>
      </c>
      <c r="I107" s="3" t="s">
        <v>3572</v>
      </c>
      <c r="J107" s="3" t="s">
        <v>3573</v>
      </c>
      <c r="K107" s="3" t="s">
        <v>3574</v>
      </c>
      <c r="L107" s="3" t="s">
        <v>3575</v>
      </c>
      <c r="M107" s="26">
        <v>36317.0</v>
      </c>
      <c r="N107" s="3" t="s">
        <v>3576</v>
      </c>
      <c r="O107" s="3" t="s">
        <v>3577</v>
      </c>
      <c r="P107" s="4"/>
      <c r="Q107" s="3" t="s">
        <v>3578</v>
      </c>
      <c r="R107" s="3" t="s">
        <v>3579</v>
      </c>
      <c r="S107" s="3" t="s">
        <v>3580</v>
      </c>
      <c r="T107" s="3" t="s">
        <v>3581</v>
      </c>
      <c r="U107" s="3" t="s">
        <v>1124</v>
      </c>
      <c r="V107" s="3" t="s">
        <v>3582</v>
      </c>
      <c r="W107" s="3" t="s">
        <v>3583</v>
      </c>
      <c r="X107" s="3" t="s">
        <v>3584</v>
      </c>
      <c r="Y107" s="3" t="s">
        <v>971</v>
      </c>
      <c r="Z107" s="3" t="s">
        <v>3585</v>
      </c>
      <c r="AA107" s="3" t="s">
        <v>969</v>
      </c>
      <c r="AB107" s="3" t="s">
        <v>3586</v>
      </c>
      <c r="AC107" s="3" t="s">
        <v>969</v>
      </c>
      <c r="AD107" s="3" t="s">
        <v>969</v>
      </c>
      <c r="AE107" s="3" t="s">
        <v>3587</v>
      </c>
      <c r="AF107" s="3" t="s">
        <v>3588</v>
      </c>
      <c r="AG107" s="3" t="s">
        <v>1302</v>
      </c>
      <c r="AH107" s="3" t="s">
        <v>969</v>
      </c>
      <c r="AI107" s="3" t="s">
        <v>3589</v>
      </c>
      <c r="AJ107" s="3" t="s">
        <v>969</v>
      </c>
      <c r="AK107" s="3" t="s">
        <v>3590</v>
      </c>
      <c r="AL107" s="3" t="s">
        <v>3591</v>
      </c>
      <c r="AM107" s="3" t="s">
        <v>3592</v>
      </c>
      <c r="AN107" s="3" t="s">
        <v>3593</v>
      </c>
      <c r="AO107" s="3" t="s">
        <v>3594</v>
      </c>
      <c r="AP107" s="3" t="s">
        <v>3595</v>
      </c>
      <c r="AQ107" s="3" t="s">
        <v>3596</v>
      </c>
      <c r="AR107" s="3" t="s">
        <v>3597</v>
      </c>
      <c r="AS107" s="3" t="s">
        <v>969</v>
      </c>
      <c r="AT107" s="3" t="s">
        <v>969</v>
      </c>
      <c r="AU107" s="3" t="s">
        <v>1039</v>
      </c>
      <c r="AV107" s="3" t="s">
        <v>3598</v>
      </c>
      <c r="AW107" s="3" t="s">
        <v>3599</v>
      </c>
      <c r="AX107" s="3" t="s">
        <v>969</v>
      </c>
      <c r="AY107" s="27">
        <v>15.99</v>
      </c>
      <c r="AZ107" s="5" t="s">
        <v>1</v>
      </c>
      <c r="BA107" s="5" t="s">
        <v>22</v>
      </c>
    </row>
    <row r="108" ht="15.75" customHeight="1">
      <c r="A108" s="24"/>
      <c r="B108" s="24">
        <v>39.0</v>
      </c>
      <c r="C108" s="5" t="s">
        <v>56</v>
      </c>
      <c r="D108" s="3" t="s">
        <v>953</v>
      </c>
      <c r="E108" s="25">
        <v>46188.67152777778</v>
      </c>
      <c r="F108" s="3" t="s">
        <v>3600</v>
      </c>
      <c r="G108" s="3" t="s">
        <v>3601</v>
      </c>
      <c r="H108" s="3" t="s">
        <v>604</v>
      </c>
      <c r="I108" s="3" t="s">
        <v>3602</v>
      </c>
      <c r="J108" s="3" t="s">
        <v>3603</v>
      </c>
      <c r="K108" s="3" t="s">
        <v>3604</v>
      </c>
      <c r="L108" s="3" t="s">
        <v>3605</v>
      </c>
      <c r="M108" s="26">
        <v>31990.0</v>
      </c>
      <c r="N108" s="3" t="s">
        <v>3606</v>
      </c>
      <c r="O108" s="3" t="s">
        <v>3607</v>
      </c>
      <c r="P108" s="3" t="s">
        <v>3608</v>
      </c>
      <c r="Q108" s="4"/>
      <c r="R108" s="3" t="s">
        <v>3609</v>
      </c>
      <c r="S108" s="3" t="s">
        <v>3610</v>
      </c>
      <c r="T108" s="3" t="s">
        <v>3611</v>
      </c>
      <c r="U108" s="3" t="s">
        <v>3612</v>
      </c>
      <c r="V108" s="3" t="s">
        <v>3613</v>
      </c>
      <c r="W108" s="3" t="s">
        <v>3614</v>
      </c>
      <c r="X108" s="3" t="s">
        <v>3615</v>
      </c>
      <c r="Y108" s="3" t="s">
        <v>969</v>
      </c>
      <c r="Z108" s="3" t="s">
        <v>1026</v>
      </c>
      <c r="AA108" s="3" t="s">
        <v>971</v>
      </c>
      <c r="AB108" s="4"/>
      <c r="AC108" s="3" t="s">
        <v>969</v>
      </c>
      <c r="AD108" s="3" t="s">
        <v>971</v>
      </c>
      <c r="AE108" s="4"/>
      <c r="AF108" s="4"/>
      <c r="AG108" s="4"/>
      <c r="AH108" s="3" t="s">
        <v>969</v>
      </c>
      <c r="AI108" s="3" t="s">
        <v>3616</v>
      </c>
      <c r="AJ108" s="3" t="s">
        <v>971</v>
      </c>
      <c r="AK108" s="4"/>
      <c r="AL108" s="3" t="s">
        <v>3617</v>
      </c>
      <c r="AM108" s="3" t="s">
        <v>3618</v>
      </c>
      <c r="AN108" s="3" t="s">
        <v>3619</v>
      </c>
      <c r="AO108" s="3" t="s">
        <v>3620</v>
      </c>
      <c r="AP108" s="3" t="s">
        <v>3621</v>
      </c>
      <c r="AQ108" s="3" t="s">
        <v>3622</v>
      </c>
      <c r="AR108" s="3" t="s">
        <v>3623</v>
      </c>
      <c r="AS108" s="3" t="s">
        <v>969</v>
      </c>
      <c r="AT108" s="3" t="s">
        <v>969</v>
      </c>
      <c r="AU108" s="3" t="s">
        <v>1260</v>
      </c>
      <c r="AV108" s="3" t="s">
        <v>1261</v>
      </c>
      <c r="AW108" s="3" t="s">
        <v>3624</v>
      </c>
      <c r="AX108" s="3" t="s">
        <v>969</v>
      </c>
      <c r="AY108" s="27">
        <v>15.99</v>
      </c>
      <c r="AZ108" s="5" t="s">
        <v>56</v>
      </c>
      <c r="BA108" s="5" t="s">
        <v>22</v>
      </c>
    </row>
    <row r="109" ht="15.75" customHeight="1">
      <c r="A109" s="24"/>
      <c r="B109" s="24">
        <v>31.0</v>
      </c>
      <c r="C109" s="5" t="s">
        <v>1</v>
      </c>
      <c r="D109" s="3" t="s">
        <v>953</v>
      </c>
      <c r="E109" s="25">
        <v>46186.77430555555</v>
      </c>
      <c r="F109" s="3" t="s">
        <v>45</v>
      </c>
      <c r="G109" s="3" t="s">
        <v>45</v>
      </c>
      <c r="H109" s="3" t="s">
        <v>758</v>
      </c>
      <c r="I109" s="3" t="s">
        <v>3625</v>
      </c>
      <c r="J109" s="3" t="s">
        <v>3626</v>
      </c>
      <c r="K109" s="3" t="s">
        <v>189</v>
      </c>
      <c r="L109" s="3" t="s">
        <v>3627</v>
      </c>
      <c r="M109" s="26">
        <v>36917.0</v>
      </c>
      <c r="N109" s="3" t="s">
        <v>3628</v>
      </c>
      <c r="O109" s="3" t="s">
        <v>3627</v>
      </c>
      <c r="P109" s="4"/>
      <c r="Q109" s="4"/>
      <c r="R109" s="4"/>
      <c r="S109" s="3" t="s">
        <v>1605</v>
      </c>
      <c r="T109" s="3" t="s">
        <v>3629</v>
      </c>
      <c r="U109" s="3" t="s">
        <v>1271</v>
      </c>
      <c r="V109" s="3" t="s">
        <v>3630</v>
      </c>
      <c r="W109" s="3" t="s">
        <v>3631</v>
      </c>
      <c r="X109" s="3" t="s">
        <v>3632</v>
      </c>
      <c r="Y109" s="3" t="s">
        <v>969</v>
      </c>
      <c r="Z109" s="3" t="s">
        <v>3633</v>
      </c>
      <c r="AA109" s="3" t="s">
        <v>971</v>
      </c>
      <c r="AB109" s="4"/>
      <c r="AC109" s="4"/>
      <c r="AD109" s="3" t="s">
        <v>3634</v>
      </c>
      <c r="AE109" s="4"/>
      <c r="AF109" s="3" t="s">
        <v>3635</v>
      </c>
      <c r="AG109" s="3" t="s">
        <v>2040</v>
      </c>
      <c r="AH109" s="3" t="s">
        <v>971</v>
      </c>
      <c r="AI109" s="4"/>
      <c r="AJ109" s="4"/>
      <c r="AK109" s="4"/>
      <c r="AL109" s="3" t="s">
        <v>3636</v>
      </c>
      <c r="AM109" s="3" t="s">
        <v>3637</v>
      </c>
      <c r="AN109" s="3" t="s">
        <v>3638</v>
      </c>
      <c r="AO109" s="3" t="s">
        <v>3639</v>
      </c>
      <c r="AP109" s="3" t="s">
        <v>3640</v>
      </c>
      <c r="AQ109" s="3" t="s">
        <v>3641</v>
      </c>
      <c r="AR109" s="3" t="s">
        <v>3642</v>
      </c>
      <c r="AS109" s="3" t="s">
        <v>969</v>
      </c>
      <c r="AT109" s="3" t="s">
        <v>969</v>
      </c>
      <c r="AU109" s="3" t="s">
        <v>1039</v>
      </c>
      <c r="AV109" s="3" t="s">
        <v>3643</v>
      </c>
      <c r="AW109" s="3" t="s">
        <v>1799</v>
      </c>
      <c r="AX109" s="3" t="s">
        <v>969</v>
      </c>
      <c r="AY109" s="27">
        <v>15.99</v>
      </c>
      <c r="AZ109" s="5" t="s">
        <v>1</v>
      </c>
      <c r="BA109" s="5" t="s">
        <v>22</v>
      </c>
    </row>
    <row r="110" ht="15.75" customHeight="1">
      <c r="A110" s="24"/>
      <c r="B110" s="24">
        <v>21.0</v>
      </c>
      <c r="C110" s="5" t="s">
        <v>1</v>
      </c>
      <c r="D110" s="3" t="s">
        <v>953</v>
      </c>
      <c r="E110" s="25">
        <v>46176.46319444444</v>
      </c>
      <c r="F110" s="3" t="s">
        <v>35</v>
      </c>
      <c r="G110" s="3" t="s">
        <v>35</v>
      </c>
      <c r="H110" s="3" t="s">
        <v>594</v>
      </c>
      <c r="I110" s="3" t="s">
        <v>3644</v>
      </c>
      <c r="J110" s="3" t="s">
        <v>3645</v>
      </c>
      <c r="K110" s="3" t="s">
        <v>3646</v>
      </c>
      <c r="L110" s="3" t="s">
        <v>3647</v>
      </c>
      <c r="M110" s="26">
        <v>32497.0</v>
      </c>
      <c r="N110" s="3" t="s">
        <v>3648</v>
      </c>
      <c r="O110" s="3" t="s">
        <v>3649</v>
      </c>
      <c r="P110" s="3" t="s">
        <v>3650</v>
      </c>
      <c r="Q110" s="4"/>
      <c r="R110" s="4"/>
      <c r="S110" s="3" t="s">
        <v>3651</v>
      </c>
      <c r="T110" s="3" t="s">
        <v>3652</v>
      </c>
      <c r="U110" s="3" t="s">
        <v>3653</v>
      </c>
      <c r="V110" s="3" t="s">
        <v>3471</v>
      </c>
      <c r="W110" s="3" t="s">
        <v>1397</v>
      </c>
      <c r="X110" s="3" t="s">
        <v>1398</v>
      </c>
      <c r="Y110" s="3" t="s">
        <v>971</v>
      </c>
      <c r="Z110" s="3" t="s">
        <v>1399</v>
      </c>
      <c r="AA110" s="3" t="s">
        <v>971</v>
      </c>
      <c r="AB110" s="4"/>
      <c r="AC110" s="3" t="s">
        <v>969</v>
      </c>
      <c r="AD110" s="3" t="s">
        <v>3654</v>
      </c>
      <c r="AE110" s="4"/>
      <c r="AF110" s="4"/>
      <c r="AG110" s="4"/>
      <c r="AH110" s="3" t="s">
        <v>971</v>
      </c>
      <c r="AI110" s="4"/>
      <c r="AJ110" s="4"/>
      <c r="AK110" s="4"/>
      <c r="AL110" s="3" t="s">
        <v>3655</v>
      </c>
      <c r="AM110" s="3" t="s">
        <v>3656</v>
      </c>
      <c r="AN110" s="3" t="s">
        <v>3657</v>
      </c>
      <c r="AO110" s="3" t="s">
        <v>3658</v>
      </c>
      <c r="AP110" s="3" t="s">
        <v>3659</v>
      </c>
      <c r="AQ110" s="3" t="s">
        <v>3660</v>
      </c>
      <c r="AR110" s="3" t="s">
        <v>3661</v>
      </c>
      <c r="AS110" s="3" t="s">
        <v>969</v>
      </c>
      <c r="AT110" s="3" t="s">
        <v>969</v>
      </c>
      <c r="AU110" s="3" t="s">
        <v>1260</v>
      </c>
      <c r="AV110" s="3" t="s">
        <v>3662</v>
      </c>
      <c r="AW110" s="3" t="s">
        <v>3663</v>
      </c>
      <c r="AX110" s="3" t="s">
        <v>969</v>
      </c>
      <c r="AY110" s="27">
        <v>15.99</v>
      </c>
      <c r="AZ110" s="5" t="s">
        <v>1</v>
      </c>
      <c r="BA110" s="5" t="s">
        <v>22</v>
      </c>
    </row>
    <row r="111" ht="15.75" customHeight="1">
      <c r="A111" s="24"/>
      <c r="B111" s="24">
        <v>15.0</v>
      </c>
      <c r="C111" s="5" t="s">
        <v>1</v>
      </c>
      <c r="D111" s="3" t="s">
        <v>953</v>
      </c>
      <c r="E111" s="25">
        <v>46174.01597222222</v>
      </c>
      <c r="F111" s="3" t="s">
        <v>21</v>
      </c>
      <c r="G111" s="3" t="s">
        <v>21</v>
      </c>
      <c r="H111" s="3" t="s">
        <v>735</v>
      </c>
      <c r="I111" s="3" t="s">
        <v>3664</v>
      </c>
      <c r="J111" s="3" t="s">
        <v>3665</v>
      </c>
      <c r="K111" s="3" t="s">
        <v>3666</v>
      </c>
      <c r="L111" s="3" t="s">
        <v>3667</v>
      </c>
      <c r="M111" s="26">
        <v>32829.0</v>
      </c>
      <c r="N111" s="3" t="s">
        <v>3668</v>
      </c>
      <c r="O111" s="3" t="s">
        <v>3669</v>
      </c>
      <c r="P111" s="3" t="s">
        <v>3670</v>
      </c>
      <c r="Q111" s="3" t="s">
        <v>3671</v>
      </c>
      <c r="R111" s="3" t="s">
        <v>3672</v>
      </c>
      <c r="S111" s="3" t="s">
        <v>3673</v>
      </c>
      <c r="T111" s="3" t="s">
        <v>3674</v>
      </c>
      <c r="U111" s="3" t="s">
        <v>1124</v>
      </c>
      <c r="V111" s="3" t="s">
        <v>3675</v>
      </c>
      <c r="W111" s="3" t="s">
        <v>3676</v>
      </c>
      <c r="X111" s="3" t="s">
        <v>3677</v>
      </c>
      <c r="Y111" s="3" t="s">
        <v>969</v>
      </c>
      <c r="Z111" s="3" t="s">
        <v>1825</v>
      </c>
      <c r="AA111" s="3" t="s">
        <v>971</v>
      </c>
      <c r="AB111" s="4"/>
      <c r="AC111" s="4"/>
      <c r="AD111" s="3" t="s">
        <v>3678</v>
      </c>
      <c r="AE111" s="3" t="s">
        <v>3679</v>
      </c>
      <c r="AF111" s="3" t="s">
        <v>3680</v>
      </c>
      <c r="AG111" s="3" t="s">
        <v>1030</v>
      </c>
      <c r="AH111" s="3" t="s">
        <v>971</v>
      </c>
      <c r="AI111" s="4"/>
      <c r="AJ111" s="4"/>
      <c r="AK111" s="4"/>
      <c r="AL111" s="3" t="s">
        <v>3681</v>
      </c>
      <c r="AM111" s="3" t="s">
        <v>3682</v>
      </c>
      <c r="AN111" s="3" t="s">
        <v>3683</v>
      </c>
      <c r="AO111" s="3" t="s">
        <v>3684</v>
      </c>
      <c r="AP111" s="3" t="s">
        <v>3685</v>
      </c>
      <c r="AQ111" s="3" t="s">
        <v>3686</v>
      </c>
      <c r="AR111" s="3" t="s">
        <v>3687</v>
      </c>
      <c r="AS111" s="3" t="s">
        <v>969</v>
      </c>
      <c r="AT111" s="3" t="s">
        <v>969</v>
      </c>
      <c r="AU111" s="3" t="s">
        <v>1039</v>
      </c>
      <c r="AV111" s="3" t="s">
        <v>3688</v>
      </c>
      <c r="AW111" s="3" t="s">
        <v>3689</v>
      </c>
      <c r="AX111" s="3" t="s">
        <v>969</v>
      </c>
      <c r="AY111" s="27">
        <v>15.99</v>
      </c>
      <c r="AZ111" s="5" t="s">
        <v>1</v>
      </c>
      <c r="BA111" s="5" t="s">
        <v>22</v>
      </c>
    </row>
    <row r="112" ht="15.75" customHeight="1">
      <c r="A112" s="24"/>
      <c r="B112" s="24">
        <v>13.0</v>
      </c>
      <c r="C112" s="5" t="s">
        <v>1</v>
      </c>
      <c r="D112" s="3" t="s">
        <v>953</v>
      </c>
      <c r="E112" s="25">
        <v>46172.49930555555</v>
      </c>
      <c r="F112" s="3" t="s">
        <v>16</v>
      </c>
      <c r="G112" s="3" t="s">
        <v>3690</v>
      </c>
      <c r="H112" s="3" t="s">
        <v>17</v>
      </c>
      <c r="I112" s="3" t="s">
        <v>3691</v>
      </c>
      <c r="J112" s="3" t="s">
        <v>3692</v>
      </c>
      <c r="K112" s="3" t="s">
        <v>3693</v>
      </c>
      <c r="L112" s="3" t="s">
        <v>3694</v>
      </c>
      <c r="M112" s="26">
        <v>36150.0</v>
      </c>
      <c r="N112" s="3" t="s">
        <v>3695</v>
      </c>
      <c r="O112" s="3" t="s">
        <v>3696</v>
      </c>
      <c r="P112" s="3" t="s">
        <v>3697</v>
      </c>
      <c r="Q112" s="3" t="s">
        <v>3698</v>
      </c>
      <c r="R112" s="3" t="s">
        <v>3699</v>
      </c>
      <c r="S112" s="3" t="s">
        <v>3700</v>
      </c>
      <c r="T112" s="3" t="s">
        <v>3701</v>
      </c>
      <c r="U112" s="3" t="s">
        <v>1245</v>
      </c>
      <c r="V112" s="3" t="s">
        <v>3702</v>
      </c>
      <c r="W112" s="4"/>
      <c r="X112" s="3" t="s">
        <v>3703</v>
      </c>
      <c r="Y112" s="3" t="s">
        <v>969</v>
      </c>
      <c r="Z112" s="3" t="s">
        <v>1928</v>
      </c>
      <c r="AA112" s="3" t="s">
        <v>971</v>
      </c>
      <c r="AB112" s="4"/>
      <c r="AC112" s="4"/>
      <c r="AD112" s="3" t="s">
        <v>971</v>
      </c>
      <c r="AE112" s="4"/>
      <c r="AF112" s="4"/>
      <c r="AG112" s="4"/>
      <c r="AH112" s="3" t="s">
        <v>969</v>
      </c>
      <c r="AI112" s="3" t="s">
        <v>3704</v>
      </c>
      <c r="AJ112" s="3" t="s">
        <v>971</v>
      </c>
      <c r="AK112" s="4"/>
      <c r="AL112" s="3" t="s">
        <v>3705</v>
      </c>
      <c r="AM112" s="3" t="s">
        <v>3706</v>
      </c>
      <c r="AN112" s="3" t="s">
        <v>3707</v>
      </c>
      <c r="AO112" s="3" t="s">
        <v>3708</v>
      </c>
      <c r="AP112" s="3" t="s">
        <v>3709</v>
      </c>
      <c r="AQ112" s="3" t="s">
        <v>3710</v>
      </c>
      <c r="AR112" s="3" t="s">
        <v>3711</v>
      </c>
      <c r="AS112" s="3" t="s">
        <v>969</v>
      </c>
      <c r="AT112" s="3" t="s">
        <v>969</v>
      </c>
      <c r="AU112" s="3" t="s">
        <v>1409</v>
      </c>
      <c r="AV112" s="3" t="s">
        <v>3712</v>
      </c>
      <c r="AW112" s="4"/>
      <c r="AX112" s="3" t="s">
        <v>969</v>
      </c>
      <c r="AY112" s="27">
        <v>15.99</v>
      </c>
      <c r="AZ112" s="5" t="s">
        <v>1</v>
      </c>
      <c r="BA112" s="5" t="s">
        <v>7</v>
      </c>
    </row>
    <row r="113" ht="15.75" customHeight="1">
      <c r="A113" s="24"/>
      <c r="B113" s="24">
        <v>11.0</v>
      </c>
      <c r="C113" s="5" t="s">
        <v>1</v>
      </c>
      <c r="D113" s="3" t="s">
        <v>953</v>
      </c>
      <c r="E113" s="25">
        <v>46172.28333333333</v>
      </c>
      <c r="F113" s="3" t="s">
        <v>2</v>
      </c>
      <c r="G113" s="3" t="s">
        <v>3713</v>
      </c>
      <c r="H113" s="3" t="s">
        <v>3</v>
      </c>
      <c r="I113" s="3" t="s">
        <v>3714</v>
      </c>
      <c r="J113" s="3" t="s">
        <v>3715</v>
      </c>
      <c r="K113" s="3" t="s">
        <v>1015</v>
      </c>
      <c r="L113" s="3" t="s">
        <v>3716</v>
      </c>
      <c r="M113" s="26">
        <v>35724.0</v>
      </c>
      <c r="N113" s="3" t="s">
        <v>3717</v>
      </c>
      <c r="O113" s="3" t="s">
        <v>3718</v>
      </c>
      <c r="P113" s="4"/>
      <c r="Q113" s="4"/>
      <c r="R113" s="4"/>
      <c r="S113" s="3" t="s">
        <v>2849</v>
      </c>
      <c r="T113" s="3" t="s">
        <v>3719</v>
      </c>
      <c r="U113" s="3" t="s">
        <v>1271</v>
      </c>
      <c r="V113" s="3" t="s">
        <v>2821</v>
      </c>
      <c r="W113" s="4"/>
      <c r="X113" s="3" t="s">
        <v>3720</v>
      </c>
      <c r="Y113" s="3" t="s">
        <v>971</v>
      </c>
      <c r="Z113" s="3" t="s">
        <v>1026</v>
      </c>
      <c r="AA113" s="3" t="s">
        <v>971</v>
      </c>
      <c r="AB113" s="4"/>
      <c r="AC113" s="3" t="s">
        <v>969</v>
      </c>
      <c r="AD113" s="3" t="s">
        <v>3721</v>
      </c>
      <c r="AE113" s="3" t="s">
        <v>3722</v>
      </c>
      <c r="AF113" s="3" t="s">
        <v>1250</v>
      </c>
      <c r="AG113" s="3" t="s">
        <v>1746</v>
      </c>
      <c r="AH113" s="3" t="s">
        <v>969</v>
      </c>
      <c r="AI113" s="3" t="s">
        <v>3723</v>
      </c>
      <c r="AJ113" s="3" t="s">
        <v>3724</v>
      </c>
      <c r="AK113" s="3" t="s">
        <v>3725</v>
      </c>
      <c r="AL113" s="3" t="s">
        <v>3726</v>
      </c>
      <c r="AM113" s="3" t="s">
        <v>3727</v>
      </c>
      <c r="AN113" s="3" t="s">
        <v>3728</v>
      </c>
      <c r="AO113" s="3" t="s">
        <v>3729</v>
      </c>
      <c r="AP113" s="3" t="s">
        <v>3730</v>
      </c>
      <c r="AQ113" s="3" t="s">
        <v>3731</v>
      </c>
      <c r="AR113" s="3" t="s">
        <v>3732</v>
      </c>
      <c r="AS113" s="3" t="s">
        <v>969</v>
      </c>
      <c r="AT113" s="3" t="s">
        <v>969</v>
      </c>
      <c r="AU113" s="3" t="s">
        <v>1039</v>
      </c>
      <c r="AV113" s="3" t="s">
        <v>3733</v>
      </c>
      <c r="AW113" s="4"/>
      <c r="AX113" s="3" t="s">
        <v>969</v>
      </c>
      <c r="AY113" s="27">
        <v>15.99</v>
      </c>
      <c r="AZ113" s="5" t="s">
        <v>1</v>
      </c>
      <c r="BA113" s="5" t="s">
        <v>7</v>
      </c>
    </row>
    <row r="114" ht="15.75" customHeight="1">
      <c r="A114" s="24"/>
      <c r="B114" s="24">
        <v>193.0</v>
      </c>
      <c r="C114" s="5" t="s">
        <v>1</v>
      </c>
      <c r="D114" s="3" t="s">
        <v>953</v>
      </c>
      <c r="E114" s="25">
        <v>46219.81041666667</v>
      </c>
      <c r="F114" s="3" t="s">
        <v>3734</v>
      </c>
      <c r="G114" s="3" t="s">
        <v>3734</v>
      </c>
      <c r="H114" s="3" t="s">
        <v>3735</v>
      </c>
      <c r="I114" s="3" t="s">
        <v>3736</v>
      </c>
      <c r="J114" s="3" t="s">
        <v>3737</v>
      </c>
      <c r="K114" s="3" t="s">
        <v>3738</v>
      </c>
      <c r="L114" s="3" t="s">
        <v>3739</v>
      </c>
      <c r="M114" s="26">
        <v>34385.0</v>
      </c>
      <c r="N114" s="3" t="s">
        <v>3740</v>
      </c>
      <c r="O114" s="3" t="s">
        <v>3741</v>
      </c>
      <c r="P114" s="3" t="s">
        <v>3742</v>
      </c>
      <c r="Q114" s="3" t="s">
        <v>3743</v>
      </c>
      <c r="R114" s="3" t="s">
        <v>3744</v>
      </c>
      <c r="S114" s="3" t="s">
        <v>3745</v>
      </c>
      <c r="T114" s="3" t="s">
        <v>3746</v>
      </c>
      <c r="U114" s="3" t="s">
        <v>1271</v>
      </c>
      <c r="V114" s="3" t="s">
        <v>3747</v>
      </c>
      <c r="W114" s="3" t="s">
        <v>3748</v>
      </c>
      <c r="X114" s="3" t="s">
        <v>3749</v>
      </c>
      <c r="Y114" s="3" t="s">
        <v>969</v>
      </c>
      <c r="Z114" s="3" t="s">
        <v>3750</v>
      </c>
      <c r="AA114" s="3" t="s">
        <v>971</v>
      </c>
      <c r="AB114" s="4"/>
      <c r="AC114" s="3" t="s">
        <v>6</v>
      </c>
      <c r="AD114" s="3" t="s">
        <v>3751</v>
      </c>
      <c r="AE114" s="3" t="s">
        <v>2564</v>
      </c>
      <c r="AF114" s="3" t="s">
        <v>3752</v>
      </c>
      <c r="AG114" s="3" t="s">
        <v>2853</v>
      </c>
      <c r="AH114" s="3" t="s">
        <v>969</v>
      </c>
      <c r="AI114" s="3" t="s">
        <v>3753</v>
      </c>
      <c r="AJ114" s="3" t="s">
        <v>6</v>
      </c>
      <c r="AK114" s="3" t="s">
        <v>3754</v>
      </c>
      <c r="AL114" s="3" t="s">
        <v>3755</v>
      </c>
      <c r="AM114" s="3" t="s">
        <v>3756</v>
      </c>
      <c r="AN114" s="3" t="s">
        <v>3757</v>
      </c>
      <c r="AO114" s="3" t="s">
        <v>3758</v>
      </c>
      <c r="AP114" s="3" t="s">
        <v>3759</v>
      </c>
      <c r="AQ114" s="3" t="s">
        <v>3760</v>
      </c>
      <c r="AR114" s="3" t="s">
        <v>3761</v>
      </c>
      <c r="AS114" s="3" t="s">
        <v>969</v>
      </c>
      <c r="AT114" s="3" t="s">
        <v>969</v>
      </c>
      <c r="AU114" s="3" t="s">
        <v>1039</v>
      </c>
      <c r="AV114" s="3" t="s">
        <v>2217</v>
      </c>
      <c r="AW114" s="3" t="s">
        <v>3762</v>
      </c>
      <c r="AX114" s="3" t="s">
        <v>969</v>
      </c>
      <c r="AY114" s="27">
        <v>15.99</v>
      </c>
    </row>
    <row r="115" ht="15.75" customHeight="1">
      <c r="A115" s="24"/>
      <c r="B115" s="24">
        <v>192.0</v>
      </c>
      <c r="C115" s="5" t="s">
        <v>1</v>
      </c>
      <c r="D115" s="3" t="s">
        <v>953</v>
      </c>
      <c r="E115" s="25">
        <v>46219.07291666666</v>
      </c>
      <c r="F115" s="3" t="s">
        <v>3763</v>
      </c>
      <c r="G115" s="3" t="s">
        <v>3764</v>
      </c>
      <c r="H115" s="3" t="s">
        <v>3765</v>
      </c>
      <c r="I115" s="3" t="s">
        <v>677</v>
      </c>
      <c r="J115" s="3" t="s">
        <v>3766</v>
      </c>
      <c r="K115" s="3" t="s">
        <v>3396</v>
      </c>
      <c r="L115" s="3" t="s">
        <v>3767</v>
      </c>
      <c r="M115" s="26">
        <v>31187.0</v>
      </c>
      <c r="N115" s="3" t="s">
        <v>3768</v>
      </c>
      <c r="O115" s="3" t="s">
        <v>3158</v>
      </c>
      <c r="P115" s="4"/>
      <c r="Q115" s="4"/>
      <c r="R115" s="4"/>
      <c r="S115" s="3" t="s">
        <v>3769</v>
      </c>
      <c r="T115" s="3" t="s">
        <v>3770</v>
      </c>
      <c r="U115" s="3" t="s">
        <v>3771</v>
      </c>
      <c r="V115" s="3" t="s">
        <v>1245</v>
      </c>
      <c r="W115" s="3" t="s">
        <v>3772</v>
      </c>
      <c r="X115" s="3" t="s">
        <v>3773</v>
      </c>
      <c r="Y115" s="3" t="s">
        <v>969</v>
      </c>
      <c r="Z115" s="3" t="s">
        <v>2753</v>
      </c>
      <c r="AA115" s="3" t="s">
        <v>971</v>
      </c>
      <c r="AB115" s="4"/>
      <c r="AC115" s="3" t="s">
        <v>969</v>
      </c>
      <c r="AD115" s="3" t="s">
        <v>3774</v>
      </c>
      <c r="AE115" s="4"/>
      <c r="AF115" s="3" t="s">
        <v>3775</v>
      </c>
      <c r="AG115" s="3" t="s">
        <v>2853</v>
      </c>
      <c r="AH115" s="3" t="s">
        <v>971</v>
      </c>
      <c r="AI115" s="4"/>
      <c r="AJ115" s="3" t="s">
        <v>969</v>
      </c>
      <c r="AK115" s="3" t="s">
        <v>3776</v>
      </c>
      <c r="AL115" s="3" t="s">
        <v>3777</v>
      </c>
      <c r="AM115" s="3" t="s">
        <v>3778</v>
      </c>
      <c r="AN115" s="3" t="s">
        <v>3779</v>
      </c>
      <c r="AO115" s="3" t="s">
        <v>3780</v>
      </c>
      <c r="AP115" s="3" t="s">
        <v>3781</v>
      </c>
      <c r="AQ115" s="3" t="s">
        <v>3782</v>
      </c>
      <c r="AR115" s="3" t="s">
        <v>3783</v>
      </c>
      <c r="AS115" s="3" t="s">
        <v>969</v>
      </c>
      <c r="AT115" s="3" t="s">
        <v>969</v>
      </c>
      <c r="AU115" s="3" t="s">
        <v>1409</v>
      </c>
      <c r="AV115" s="3" t="s">
        <v>3784</v>
      </c>
      <c r="AW115" s="3" t="s">
        <v>3785</v>
      </c>
      <c r="AX115" s="3" t="s">
        <v>969</v>
      </c>
      <c r="AY115" s="27">
        <v>15.99</v>
      </c>
    </row>
    <row r="116" ht="15.75" customHeight="1">
      <c r="A116" s="24"/>
      <c r="B116" s="24">
        <v>181.0</v>
      </c>
      <c r="C116" s="5" t="s">
        <v>1</v>
      </c>
      <c r="D116" s="3" t="s">
        <v>953</v>
      </c>
      <c r="E116" s="25">
        <v>46215.73194444444</v>
      </c>
      <c r="F116" s="3" t="s">
        <v>3786</v>
      </c>
      <c r="G116" s="3" t="s">
        <v>3786</v>
      </c>
      <c r="H116" s="3" t="s">
        <v>3787</v>
      </c>
      <c r="I116" s="3" t="s">
        <v>3788</v>
      </c>
      <c r="J116" s="3" t="s">
        <v>3789</v>
      </c>
      <c r="K116" s="3" t="s">
        <v>1624</v>
      </c>
      <c r="L116" s="3" t="s">
        <v>3790</v>
      </c>
      <c r="M116" s="26">
        <v>37575.0</v>
      </c>
      <c r="N116" s="3" t="s">
        <v>3791</v>
      </c>
      <c r="O116" s="3" t="s">
        <v>3792</v>
      </c>
      <c r="P116" s="4"/>
      <c r="Q116" s="4"/>
      <c r="R116" s="3" t="s">
        <v>3793</v>
      </c>
      <c r="S116" s="3" t="s">
        <v>3794</v>
      </c>
      <c r="T116" s="3" t="s">
        <v>3795</v>
      </c>
      <c r="U116" s="3" t="s">
        <v>3796</v>
      </c>
      <c r="V116" s="3" t="s">
        <v>3797</v>
      </c>
      <c r="W116" s="3" t="s">
        <v>3798</v>
      </c>
      <c r="X116" s="3" t="s">
        <v>3799</v>
      </c>
      <c r="Y116" s="3" t="s">
        <v>969</v>
      </c>
      <c r="Z116" s="3" t="s">
        <v>3800</v>
      </c>
      <c r="AA116" s="3" t="s">
        <v>971</v>
      </c>
      <c r="AB116" s="4"/>
      <c r="AC116" s="3" t="s">
        <v>3801</v>
      </c>
      <c r="AD116" s="3" t="s">
        <v>3802</v>
      </c>
      <c r="AE116" s="3" t="s">
        <v>2564</v>
      </c>
      <c r="AF116" s="3" t="s">
        <v>3803</v>
      </c>
      <c r="AG116" s="3" t="s">
        <v>3804</v>
      </c>
      <c r="AH116" s="3" t="s">
        <v>971</v>
      </c>
      <c r="AI116" s="4"/>
      <c r="AJ116" s="3" t="s">
        <v>3805</v>
      </c>
      <c r="AK116" s="3" t="s">
        <v>3806</v>
      </c>
      <c r="AL116" s="3" t="s">
        <v>3807</v>
      </c>
      <c r="AM116" s="3" t="s">
        <v>3808</v>
      </c>
      <c r="AN116" s="3" t="s">
        <v>3809</v>
      </c>
      <c r="AO116" s="3" t="s">
        <v>3810</v>
      </c>
      <c r="AP116" s="3" t="s">
        <v>3811</v>
      </c>
      <c r="AQ116" s="3" t="s">
        <v>3812</v>
      </c>
      <c r="AR116" s="3" t="s">
        <v>3813</v>
      </c>
      <c r="AS116" s="3" t="s">
        <v>971</v>
      </c>
      <c r="AT116" s="3" t="s">
        <v>971</v>
      </c>
      <c r="AU116" s="3" t="s">
        <v>1409</v>
      </c>
      <c r="AV116" s="3" t="s">
        <v>3814</v>
      </c>
      <c r="AW116" s="3" t="s">
        <v>3815</v>
      </c>
      <c r="AX116" s="3" t="s">
        <v>969</v>
      </c>
      <c r="AY116" s="27">
        <v>15.99</v>
      </c>
    </row>
    <row r="117" ht="15.75" customHeight="1">
      <c r="A117" s="24"/>
      <c r="B117" s="24">
        <v>174.0</v>
      </c>
      <c r="C117" s="5" t="s">
        <v>1</v>
      </c>
      <c r="D117" s="3" t="s">
        <v>953</v>
      </c>
      <c r="E117" s="25">
        <v>46213.50694444445</v>
      </c>
      <c r="F117" s="3" t="s">
        <v>3816</v>
      </c>
      <c r="G117" s="3" t="s">
        <v>3816</v>
      </c>
      <c r="H117" s="3" t="s">
        <v>3817</v>
      </c>
      <c r="I117" s="3" t="s">
        <v>3818</v>
      </c>
      <c r="J117" s="3" t="s">
        <v>3819</v>
      </c>
      <c r="K117" s="3" t="s">
        <v>189</v>
      </c>
      <c r="L117" s="3" t="s">
        <v>3820</v>
      </c>
      <c r="M117" s="26">
        <v>37338.0</v>
      </c>
      <c r="N117" s="3" t="s">
        <v>3821</v>
      </c>
      <c r="O117" s="3" t="s">
        <v>3820</v>
      </c>
      <c r="P117" s="3" t="s">
        <v>3822</v>
      </c>
      <c r="Q117" s="4"/>
      <c r="R117" s="4"/>
      <c r="S117" s="3" t="s">
        <v>3823</v>
      </c>
      <c r="T117" s="3" t="s">
        <v>3824</v>
      </c>
      <c r="U117" s="3" t="s">
        <v>1949</v>
      </c>
      <c r="V117" s="3" t="s">
        <v>3825</v>
      </c>
      <c r="W117" s="3" t="s">
        <v>3826</v>
      </c>
      <c r="X117" s="3" t="s">
        <v>3827</v>
      </c>
      <c r="Y117" s="3" t="s">
        <v>971</v>
      </c>
      <c r="Z117" s="3" t="s">
        <v>1128</v>
      </c>
      <c r="AA117" s="3" t="s">
        <v>971</v>
      </c>
      <c r="AB117" s="4"/>
      <c r="AC117" s="4"/>
      <c r="AD117" s="3" t="s">
        <v>3828</v>
      </c>
      <c r="AE117" s="4"/>
      <c r="AF117" s="3" t="s">
        <v>3829</v>
      </c>
      <c r="AG117" s="3" t="s">
        <v>1133</v>
      </c>
      <c r="AH117" s="3" t="s">
        <v>969</v>
      </c>
      <c r="AI117" s="3" t="s">
        <v>2565</v>
      </c>
      <c r="AJ117" s="3" t="s">
        <v>6</v>
      </c>
      <c r="AK117" s="3" t="s">
        <v>3830</v>
      </c>
      <c r="AL117" s="3" t="s">
        <v>3831</v>
      </c>
      <c r="AM117" s="3" t="s">
        <v>3832</v>
      </c>
      <c r="AN117" s="3" t="s">
        <v>3833</v>
      </c>
      <c r="AO117" s="3" t="s">
        <v>3834</v>
      </c>
      <c r="AP117" s="3" t="s">
        <v>3835</v>
      </c>
      <c r="AQ117" s="3" t="s">
        <v>3836</v>
      </c>
      <c r="AR117" s="3" t="s">
        <v>3837</v>
      </c>
      <c r="AS117" s="3" t="s">
        <v>971</v>
      </c>
      <c r="AT117" s="3" t="s">
        <v>971</v>
      </c>
      <c r="AU117" s="3" t="s">
        <v>1039</v>
      </c>
      <c r="AV117" s="3" t="s">
        <v>982</v>
      </c>
      <c r="AW117" s="4"/>
      <c r="AX117" s="3" t="s">
        <v>969</v>
      </c>
      <c r="AY117" s="27">
        <v>15.99</v>
      </c>
    </row>
    <row r="118" ht="15.75" customHeight="1">
      <c r="A118" s="24"/>
      <c r="B118" s="24">
        <v>165.0</v>
      </c>
      <c r="C118" s="5" t="s">
        <v>1</v>
      </c>
      <c r="D118" s="3" t="s">
        <v>953</v>
      </c>
      <c r="E118" s="25">
        <v>46209.11180555556</v>
      </c>
      <c r="F118" s="3" t="s">
        <v>3838</v>
      </c>
      <c r="G118" s="3" t="s">
        <v>3838</v>
      </c>
      <c r="H118" s="3" t="s">
        <v>3839</v>
      </c>
      <c r="I118" s="3" t="s">
        <v>3840</v>
      </c>
      <c r="J118" s="3" t="s">
        <v>3841</v>
      </c>
      <c r="K118" s="3" t="s">
        <v>3842</v>
      </c>
      <c r="L118" s="3" t="s">
        <v>3843</v>
      </c>
      <c r="M118" s="26">
        <v>38827.0</v>
      </c>
      <c r="N118" s="3" t="s">
        <v>3844</v>
      </c>
      <c r="O118" s="3" t="s">
        <v>3845</v>
      </c>
      <c r="P118" s="3" t="s">
        <v>3846</v>
      </c>
      <c r="Q118" s="3" t="s">
        <v>3847</v>
      </c>
      <c r="R118" s="4"/>
      <c r="S118" s="3" t="s">
        <v>3848</v>
      </c>
      <c r="T118" s="3" t="s">
        <v>3849</v>
      </c>
      <c r="U118" s="3" t="s">
        <v>3850</v>
      </c>
      <c r="V118" s="3" t="s">
        <v>3851</v>
      </c>
      <c r="W118" s="3" t="s">
        <v>3852</v>
      </c>
      <c r="X118" s="3" t="s">
        <v>3853</v>
      </c>
      <c r="Y118" s="3" t="s">
        <v>969</v>
      </c>
      <c r="Z118" s="3" t="s">
        <v>3854</v>
      </c>
      <c r="AA118" s="3" t="s">
        <v>971</v>
      </c>
      <c r="AB118" s="3" t="s">
        <v>3855</v>
      </c>
      <c r="AC118" s="3" t="s">
        <v>6</v>
      </c>
      <c r="AD118" s="3" t="s">
        <v>3856</v>
      </c>
      <c r="AE118" s="3" t="s">
        <v>3857</v>
      </c>
      <c r="AF118" s="3" t="s">
        <v>3858</v>
      </c>
      <c r="AG118" s="3" t="s">
        <v>3859</v>
      </c>
      <c r="AH118" s="3" t="s">
        <v>971</v>
      </c>
      <c r="AI118" s="3" t="s">
        <v>3860</v>
      </c>
      <c r="AJ118" s="3" t="s">
        <v>3861</v>
      </c>
      <c r="AK118" s="3" t="s">
        <v>3862</v>
      </c>
      <c r="AL118" s="3" t="s">
        <v>3863</v>
      </c>
      <c r="AM118" s="3" t="s">
        <v>3864</v>
      </c>
      <c r="AN118" s="3" t="s">
        <v>3865</v>
      </c>
      <c r="AO118" s="3" t="s">
        <v>3866</v>
      </c>
      <c r="AP118" s="3" t="s">
        <v>3867</v>
      </c>
      <c r="AQ118" s="3" t="s">
        <v>3868</v>
      </c>
      <c r="AR118" s="3" t="s">
        <v>3869</v>
      </c>
      <c r="AS118" s="3" t="s">
        <v>969</v>
      </c>
      <c r="AT118" s="3" t="s">
        <v>969</v>
      </c>
      <c r="AU118" s="3" t="s">
        <v>1039</v>
      </c>
      <c r="AV118" s="3" t="s">
        <v>3870</v>
      </c>
      <c r="AW118" s="4"/>
      <c r="AX118" s="3" t="s">
        <v>969</v>
      </c>
      <c r="AY118" s="27">
        <v>15.99</v>
      </c>
    </row>
    <row r="119" ht="15.75" customHeight="1">
      <c r="A119" s="24"/>
      <c r="B119" s="24">
        <v>152.0</v>
      </c>
      <c r="C119" s="5" t="s">
        <v>1</v>
      </c>
      <c r="D119" s="3" t="s">
        <v>953</v>
      </c>
      <c r="E119" s="25">
        <v>46208.94861111111</v>
      </c>
      <c r="F119" s="3" t="s">
        <v>3871</v>
      </c>
      <c r="G119" s="3" t="s">
        <v>3871</v>
      </c>
      <c r="H119" s="3" t="s">
        <v>277</v>
      </c>
      <c r="I119" s="3" t="s">
        <v>277</v>
      </c>
      <c r="J119" s="3" t="s">
        <v>3872</v>
      </c>
      <c r="K119" s="3" t="s">
        <v>1528</v>
      </c>
      <c r="L119" s="3" t="s">
        <v>3873</v>
      </c>
      <c r="M119" s="26">
        <v>34137.0</v>
      </c>
      <c r="N119" s="3" t="s">
        <v>3874</v>
      </c>
      <c r="O119" s="3" t="s">
        <v>3873</v>
      </c>
      <c r="P119" s="4"/>
      <c r="Q119" s="4"/>
      <c r="R119" s="4"/>
      <c r="S119" s="3" t="s">
        <v>3875</v>
      </c>
      <c r="T119" s="3" t="s">
        <v>3876</v>
      </c>
      <c r="U119" s="3" t="s">
        <v>1271</v>
      </c>
      <c r="V119" s="3" t="s">
        <v>3877</v>
      </c>
      <c r="W119" s="3" t="s">
        <v>3878</v>
      </c>
      <c r="X119" s="3" t="s">
        <v>3879</v>
      </c>
      <c r="Y119" s="3" t="s">
        <v>971</v>
      </c>
      <c r="Z119" s="4"/>
      <c r="AA119" s="3" t="s">
        <v>971</v>
      </c>
      <c r="AB119" s="4"/>
      <c r="AC119" s="4"/>
      <c r="AD119" s="3" t="s">
        <v>3880</v>
      </c>
      <c r="AE119" s="3" t="s">
        <v>3881</v>
      </c>
      <c r="AF119" s="3" t="s">
        <v>1250</v>
      </c>
      <c r="AG119" s="3" t="s">
        <v>1133</v>
      </c>
      <c r="AH119" s="3" t="s">
        <v>971</v>
      </c>
      <c r="AI119" s="4"/>
      <c r="AJ119" s="4"/>
      <c r="AK119" s="4"/>
      <c r="AL119" s="3" t="s">
        <v>3882</v>
      </c>
      <c r="AM119" s="3" t="s">
        <v>3883</v>
      </c>
      <c r="AN119" s="3" t="s">
        <v>3884</v>
      </c>
      <c r="AO119" s="3" t="s">
        <v>3885</v>
      </c>
      <c r="AP119" s="3" t="s">
        <v>3886</v>
      </c>
      <c r="AQ119" s="3" t="s">
        <v>3887</v>
      </c>
      <c r="AR119" s="3" t="s">
        <v>3888</v>
      </c>
      <c r="AS119" s="3" t="s">
        <v>971</v>
      </c>
      <c r="AT119" s="3" t="s">
        <v>971</v>
      </c>
      <c r="AU119" s="3" t="s">
        <v>1260</v>
      </c>
      <c r="AV119" s="3" t="s">
        <v>918</v>
      </c>
      <c r="AW119" s="4"/>
      <c r="AX119" s="3" t="s">
        <v>969</v>
      </c>
      <c r="AY119" s="27">
        <v>15.99</v>
      </c>
      <c r="BA119" s="5" t="s">
        <v>43</v>
      </c>
    </row>
    <row r="120" ht="15.75" customHeight="1">
      <c r="A120" s="24"/>
      <c r="B120" s="24">
        <v>151.0</v>
      </c>
      <c r="C120" s="5" t="s">
        <v>1</v>
      </c>
      <c r="D120" s="3" t="s">
        <v>953</v>
      </c>
      <c r="E120" s="25">
        <v>46208.94375</v>
      </c>
      <c r="F120" s="3" t="s">
        <v>3889</v>
      </c>
      <c r="G120" s="3" t="s">
        <v>3889</v>
      </c>
      <c r="H120" s="3" t="s">
        <v>3890</v>
      </c>
      <c r="I120" s="3" t="s">
        <v>3891</v>
      </c>
      <c r="J120" s="3" t="s">
        <v>3892</v>
      </c>
      <c r="K120" s="3" t="s">
        <v>2223</v>
      </c>
      <c r="L120" s="3" t="s">
        <v>3893</v>
      </c>
      <c r="M120" s="26">
        <v>37793.0</v>
      </c>
      <c r="N120" s="3" t="s">
        <v>3894</v>
      </c>
      <c r="O120" s="3" t="s">
        <v>3895</v>
      </c>
      <c r="P120" s="3" t="s">
        <v>3896</v>
      </c>
      <c r="Q120" s="3" t="s">
        <v>3897</v>
      </c>
      <c r="R120" s="4"/>
      <c r="S120" s="3" t="s">
        <v>3898</v>
      </c>
      <c r="T120" s="3" t="s">
        <v>3899</v>
      </c>
      <c r="U120" s="3" t="s">
        <v>1896</v>
      </c>
      <c r="V120" s="3" t="s">
        <v>1397</v>
      </c>
      <c r="W120" s="4"/>
      <c r="X120" s="3" t="s">
        <v>3900</v>
      </c>
      <c r="Y120" s="3" t="s">
        <v>969</v>
      </c>
      <c r="Z120" s="3" t="s">
        <v>1928</v>
      </c>
      <c r="AA120" s="3" t="s">
        <v>971</v>
      </c>
      <c r="AB120" s="4"/>
      <c r="AC120" s="3" t="s">
        <v>969</v>
      </c>
      <c r="AD120" s="3" t="s">
        <v>3901</v>
      </c>
      <c r="AE120" s="4"/>
      <c r="AF120" s="3" t="s">
        <v>1250</v>
      </c>
      <c r="AG120" s="3" t="s">
        <v>1133</v>
      </c>
      <c r="AH120" s="3" t="s">
        <v>971</v>
      </c>
      <c r="AI120" s="4"/>
      <c r="AJ120" s="4"/>
      <c r="AK120" s="4"/>
      <c r="AL120" s="4"/>
      <c r="AM120" s="3" t="s">
        <v>3902</v>
      </c>
      <c r="AN120" s="3" t="s">
        <v>3903</v>
      </c>
      <c r="AO120" s="3" t="s">
        <v>3904</v>
      </c>
      <c r="AP120" s="3" t="s">
        <v>3905</v>
      </c>
      <c r="AQ120" s="3" t="s">
        <v>3906</v>
      </c>
      <c r="AR120" s="3" t="s">
        <v>3907</v>
      </c>
      <c r="AS120" s="3" t="s">
        <v>969</v>
      </c>
      <c r="AT120" s="3" t="s">
        <v>969</v>
      </c>
      <c r="AU120" s="3" t="s">
        <v>1039</v>
      </c>
      <c r="AV120" s="3" t="s">
        <v>3908</v>
      </c>
      <c r="AW120" s="3" t="s">
        <v>1596</v>
      </c>
      <c r="AX120" s="3" t="s">
        <v>969</v>
      </c>
      <c r="AY120" s="27">
        <v>15.99</v>
      </c>
    </row>
    <row r="121" ht="15.75" customHeight="1">
      <c r="A121" s="24"/>
      <c r="B121" s="24">
        <v>146.0</v>
      </c>
      <c r="C121" s="5" t="s">
        <v>1</v>
      </c>
      <c r="D121" s="3" t="s">
        <v>953</v>
      </c>
      <c r="E121" s="25">
        <v>46208.88819444444</v>
      </c>
      <c r="F121" s="3" t="s">
        <v>3909</v>
      </c>
      <c r="G121" s="3" t="s">
        <v>3910</v>
      </c>
      <c r="H121" s="3" t="s">
        <v>3911</v>
      </c>
      <c r="I121" s="3" t="s">
        <v>3912</v>
      </c>
      <c r="J121" s="3" t="s">
        <v>3913</v>
      </c>
      <c r="K121" s="3" t="s">
        <v>2579</v>
      </c>
      <c r="L121" s="3" t="s">
        <v>3914</v>
      </c>
      <c r="M121" s="26">
        <v>34565.0</v>
      </c>
      <c r="N121" s="3" t="s">
        <v>3915</v>
      </c>
      <c r="O121" s="3" t="s">
        <v>3916</v>
      </c>
      <c r="P121" s="4"/>
      <c r="Q121" s="4"/>
      <c r="R121" s="3" t="s">
        <v>3917</v>
      </c>
      <c r="S121" s="42" t="s">
        <v>3918</v>
      </c>
      <c r="T121" s="3" t="s">
        <v>3919</v>
      </c>
      <c r="U121" s="3" t="s">
        <v>1396</v>
      </c>
      <c r="V121" s="3" t="s">
        <v>2754</v>
      </c>
      <c r="W121" s="3" t="s">
        <v>2925</v>
      </c>
      <c r="X121" s="3" t="s">
        <v>3920</v>
      </c>
      <c r="Y121" s="3" t="s">
        <v>971</v>
      </c>
      <c r="Z121" s="3" t="s">
        <v>2587</v>
      </c>
      <c r="AA121" s="3" t="s">
        <v>971</v>
      </c>
      <c r="AB121" s="4"/>
      <c r="AC121" s="3" t="s">
        <v>969</v>
      </c>
      <c r="AD121" s="3" t="s">
        <v>3921</v>
      </c>
      <c r="AE121" s="3" t="s">
        <v>3922</v>
      </c>
      <c r="AF121" s="3" t="s">
        <v>1250</v>
      </c>
      <c r="AG121" s="3" t="s">
        <v>3923</v>
      </c>
      <c r="AH121" s="3" t="s">
        <v>969</v>
      </c>
      <c r="AI121" s="3" t="s">
        <v>3924</v>
      </c>
      <c r="AJ121" s="3" t="s">
        <v>971</v>
      </c>
      <c r="AK121" s="4"/>
      <c r="AL121" s="3" t="s">
        <v>3925</v>
      </c>
      <c r="AM121" s="3" t="s">
        <v>3926</v>
      </c>
      <c r="AN121" s="3" t="s">
        <v>3927</v>
      </c>
      <c r="AO121" s="3" t="s">
        <v>3928</v>
      </c>
      <c r="AP121" s="3" t="s">
        <v>3929</v>
      </c>
      <c r="AQ121" s="3" t="s">
        <v>3930</v>
      </c>
      <c r="AR121" s="3" t="s">
        <v>3931</v>
      </c>
      <c r="AS121" s="3" t="s">
        <v>969</v>
      </c>
      <c r="AT121" s="3" t="s">
        <v>969</v>
      </c>
      <c r="AU121" s="3" t="s">
        <v>1260</v>
      </c>
      <c r="AV121" s="3" t="s">
        <v>3932</v>
      </c>
      <c r="AW121" s="3" t="s">
        <v>3933</v>
      </c>
      <c r="AX121" s="3" t="s">
        <v>969</v>
      </c>
      <c r="AY121" s="27">
        <v>15.99</v>
      </c>
    </row>
    <row r="122" ht="15.75" customHeight="1">
      <c r="A122" s="24"/>
      <c r="B122" s="24">
        <v>145.0</v>
      </c>
      <c r="C122" s="5" t="s">
        <v>1</v>
      </c>
      <c r="D122" s="3" t="s">
        <v>953</v>
      </c>
      <c r="E122" s="25">
        <v>46208.88194444445</v>
      </c>
      <c r="F122" s="3" t="s">
        <v>3934</v>
      </c>
      <c r="G122" s="3" t="s">
        <v>3935</v>
      </c>
      <c r="H122" s="3" t="s">
        <v>3936</v>
      </c>
      <c r="I122" s="3" t="s">
        <v>3937</v>
      </c>
      <c r="J122" s="4"/>
      <c r="K122" s="3" t="s">
        <v>3938</v>
      </c>
      <c r="L122" s="3" t="s">
        <v>3939</v>
      </c>
      <c r="M122" s="26">
        <v>35476.0</v>
      </c>
      <c r="N122" s="3" t="s">
        <v>3940</v>
      </c>
      <c r="O122" s="3" t="s">
        <v>3941</v>
      </c>
      <c r="P122" s="4"/>
      <c r="Q122" s="4"/>
      <c r="R122" s="4"/>
      <c r="S122" s="3" t="s">
        <v>3942</v>
      </c>
      <c r="T122" s="3" t="s">
        <v>3943</v>
      </c>
      <c r="U122" s="3" t="s">
        <v>1662</v>
      </c>
      <c r="V122" s="3" t="s">
        <v>1662</v>
      </c>
      <c r="W122" s="4"/>
      <c r="X122" s="3" t="s">
        <v>3944</v>
      </c>
      <c r="Y122" s="3" t="s">
        <v>969</v>
      </c>
      <c r="Z122" s="4"/>
      <c r="AA122" s="3" t="s">
        <v>969</v>
      </c>
      <c r="AB122" s="4"/>
      <c r="AC122" s="4"/>
      <c r="AD122" s="3" t="s">
        <v>3945</v>
      </c>
      <c r="AE122" s="4"/>
      <c r="AF122" s="4"/>
      <c r="AG122" s="4"/>
      <c r="AH122" s="3" t="s">
        <v>969</v>
      </c>
      <c r="AI122" s="4"/>
      <c r="AJ122" s="4"/>
      <c r="AK122" s="4"/>
      <c r="AL122" s="4"/>
      <c r="AM122" s="3" t="s">
        <v>3946</v>
      </c>
      <c r="AN122" s="3" t="s">
        <v>3947</v>
      </c>
      <c r="AO122" s="3" t="s">
        <v>3948</v>
      </c>
      <c r="AP122" s="3" t="s">
        <v>3949</v>
      </c>
      <c r="AQ122" s="3" t="s">
        <v>3950</v>
      </c>
      <c r="AR122" s="3" t="s">
        <v>3951</v>
      </c>
      <c r="AS122" s="3" t="s">
        <v>969</v>
      </c>
      <c r="AT122" s="3" t="s">
        <v>969</v>
      </c>
      <c r="AU122" s="3" t="s">
        <v>1233</v>
      </c>
      <c r="AV122" s="3" t="s">
        <v>3952</v>
      </c>
      <c r="AW122" s="3" t="s">
        <v>3953</v>
      </c>
      <c r="AX122" s="3" t="s">
        <v>969</v>
      </c>
      <c r="AY122" s="27">
        <v>15.99</v>
      </c>
    </row>
    <row r="123" ht="15.75" customHeight="1">
      <c r="A123" s="24"/>
      <c r="B123" s="24">
        <v>140.0</v>
      </c>
      <c r="C123" s="5" t="s">
        <v>1</v>
      </c>
      <c r="D123" s="3" t="s">
        <v>953</v>
      </c>
      <c r="E123" s="25">
        <v>46208.84027777778</v>
      </c>
      <c r="F123" s="3" t="s">
        <v>3954</v>
      </c>
      <c r="G123" s="3" t="s">
        <v>3954</v>
      </c>
      <c r="H123" s="3" t="s">
        <v>3955</v>
      </c>
      <c r="I123" s="3" t="s">
        <v>3956</v>
      </c>
      <c r="J123" s="4"/>
      <c r="K123" s="3" t="s">
        <v>2188</v>
      </c>
      <c r="L123" s="3" t="s">
        <v>3957</v>
      </c>
      <c r="M123" s="26">
        <v>39661.0</v>
      </c>
      <c r="N123" s="3" t="s">
        <v>3958</v>
      </c>
      <c r="O123" s="3" t="s">
        <v>3959</v>
      </c>
      <c r="P123" s="4"/>
      <c r="Q123" s="4"/>
      <c r="R123" s="4"/>
      <c r="S123" s="3" t="s">
        <v>3960</v>
      </c>
      <c r="T123" s="3" t="s">
        <v>3961</v>
      </c>
      <c r="U123" s="3" t="s">
        <v>3962</v>
      </c>
      <c r="V123" s="3" t="s">
        <v>3963</v>
      </c>
      <c r="W123" s="3" t="s">
        <v>3964</v>
      </c>
      <c r="X123" s="3" t="s">
        <v>3965</v>
      </c>
      <c r="Y123" s="3" t="s">
        <v>969</v>
      </c>
      <c r="Z123" s="3" t="s">
        <v>3966</v>
      </c>
      <c r="AA123" s="3" t="s">
        <v>969</v>
      </c>
      <c r="AB123" s="3" t="s">
        <v>3967</v>
      </c>
      <c r="AC123" s="4"/>
      <c r="AD123" s="3" t="s">
        <v>3968</v>
      </c>
      <c r="AE123" s="3" t="s">
        <v>3969</v>
      </c>
      <c r="AF123" s="3" t="s">
        <v>1250</v>
      </c>
      <c r="AG123" s="3" t="s">
        <v>1030</v>
      </c>
      <c r="AH123" s="3" t="s">
        <v>971</v>
      </c>
      <c r="AI123" s="4"/>
      <c r="AJ123" s="3" t="s">
        <v>3970</v>
      </c>
      <c r="AK123" s="3" t="s">
        <v>3971</v>
      </c>
      <c r="AL123" s="3" t="s">
        <v>3972</v>
      </c>
      <c r="AM123" s="3" t="s">
        <v>3973</v>
      </c>
      <c r="AN123" s="3" t="s">
        <v>3974</v>
      </c>
      <c r="AO123" s="3" t="s">
        <v>3975</v>
      </c>
      <c r="AP123" s="3" t="s">
        <v>3976</v>
      </c>
      <c r="AQ123" s="3" t="s">
        <v>3977</v>
      </c>
      <c r="AR123" s="3" t="s">
        <v>3978</v>
      </c>
      <c r="AS123" s="3" t="s">
        <v>969</v>
      </c>
      <c r="AT123" s="3" t="s">
        <v>969</v>
      </c>
      <c r="AU123" s="3" t="s">
        <v>1039</v>
      </c>
      <c r="AV123" s="3" t="s">
        <v>1498</v>
      </c>
      <c r="AW123" s="3" t="s">
        <v>3979</v>
      </c>
      <c r="AX123" s="3" t="s">
        <v>969</v>
      </c>
      <c r="AY123" s="27">
        <v>15.99</v>
      </c>
    </row>
    <row r="124" ht="15.75" customHeight="1">
      <c r="A124" s="24"/>
      <c r="B124" s="24">
        <v>135.0</v>
      </c>
      <c r="C124" s="5" t="s">
        <v>1</v>
      </c>
      <c r="D124" s="3" t="s">
        <v>953</v>
      </c>
      <c r="E124" s="25">
        <v>46208.81111111111</v>
      </c>
      <c r="F124" s="3" t="s">
        <v>3980</v>
      </c>
      <c r="G124" s="3" t="s">
        <v>3981</v>
      </c>
      <c r="H124" s="3" t="s">
        <v>3982</v>
      </c>
      <c r="I124" s="3" t="s">
        <v>3983</v>
      </c>
      <c r="J124" s="3" t="s">
        <v>3984</v>
      </c>
      <c r="K124" s="3" t="s">
        <v>3985</v>
      </c>
      <c r="L124" s="3" t="s">
        <v>3986</v>
      </c>
      <c r="M124" s="26">
        <v>38468.0</v>
      </c>
      <c r="N124" s="3" t="s">
        <v>3987</v>
      </c>
      <c r="O124" s="3" t="s">
        <v>3988</v>
      </c>
      <c r="P124" s="3" t="s">
        <v>3989</v>
      </c>
      <c r="Q124" s="4"/>
      <c r="R124" s="4"/>
      <c r="S124" s="3" t="s">
        <v>3990</v>
      </c>
      <c r="T124" s="3" t="s">
        <v>3991</v>
      </c>
      <c r="U124" s="3" t="s">
        <v>1949</v>
      </c>
      <c r="V124" s="3" t="s">
        <v>1002</v>
      </c>
      <c r="W124" s="3" t="s">
        <v>1397</v>
      </c>
      <c r="X124" s="3" t="s">
        <v>3992</v>
      </c>
      <c r="Y124" s="3" t="s">
        <v>969</v>
      </c>
      <c r="Z124" s="3" t="s">
        <v>2188</v>
      </c>
      <c r="AA124" s="3" t="s">
        <v>969</v>
      </c>
      <c r="AB124" s="3" t="s">
        <v>3993</v>
      </c>
      <c r="AC124" s="4"/>
      <c r="AD124" s="3" t="s">
        <v>3994</v>
      </c>
      <c r="AE124" s="3" t="s">
        <v>3995</v>
      </c>
      <c r="AF124" s="3" t="s">
        <v>3996</v>
      </c>
      <c r="AG124" s="3" t="s">
        <v>3997</v>
      </c>
      <c r="AH124" s="3" t="s">
        <v>971</v>
      </c>
      <c r="AI124" s="4"/>
      <c r="AJ124" s="4"/>
      <c r="AK124" s="4"/>
      <c r="AL124" s="3" t="s">
        <v>3998</v>
      </c>
      <c r="AM124" s="3" t="s">
        <v>3999</v>
      </c>
      <c r="AN124" s="3" t="s">
        <v>4000</v>
      </c>
      <c r="AO124" s="3" t="s">
        <v>4001</v>
      </c>
      <c r="AP124" s="3" t="s">
        <v>4002</v>
      </c>
      <c r="AQ124" s="3" t="s">
        <v>4003</v>
      </c>
      <c r="AR124" s="3" t="s">
        <v>4004</v>
      </c>
      <c r="AS124" s="3" t="s">
        <v>969</v>
      </c>
      <c r="AT124" s="3" t="s">
        <v>969</v>
      </c>
      <c r="AU124" s="3" t="s">
        <v>981</v>
      </c>
      <c r="AV124" s="3" t="s">
        <v>4005</v>
      </c>
      <c r="AW124" s="3" t="s">
        <v>4006</v>
      </c>
      <c r="AX124" s="3" t="s">
        <v>969</v>
      </c>
      <c r="AY124" s="27">
        <v>15.99</v>
      </c>
    </row>
    <row r="125" ht="15.75" customHeight="1">
      <c r="A125" s="24"/>
      <c r="B125" s="24">
        <v>131.0</v>
      </c>
      <c r="C125" s="5" t="s">
        <v>1</v>
      </c>
      <c r="D125" s="3" t="s">
        <v>953</v>
      </c>
      <c r="E125" s="25">
        <v>46208.75833333333</v>
      </c>
      <c r="F125" s="3" t="s">
        <v>4007</v>
      </c>
      <c r="G125" s="3" t="s">
        <v>4008</v>
      </c>
      <c r="H125" s="3" t="s">
        <v>4009</v>
      </c>
      <c r="I125" s="3" t="s">
        <v>4010</v>
      </c>
      <c r="J125" s="4"/>
      <c r="K125" s="3" t="s">
        <v>1291</v>
      </c>
      <c r="L125" s="3" t="s">
        <v>4011</v>
      </c>
      <c r="M125" s="26">
        <v>36641.0</v>
      </c>
      <c r="N125" s="3" t="s">
        <v>4012</v>
      </c>
      <c r="O125" s="3" t="s">
        <v>4013</v>
      </c>
      <c r="P125" s="4"/>
      <c r="Q125" s="4"/>
      <c r="R125" s="4"/>
      <c r="S125" s="3" t="s">
        <v>4014</v>
      </c>
      <c r="T125" s="3" t="s">
        <v>4015</v>
      </c>
      <c r="U125" s="3" t="s">
        <v>4016</v>
      </c>
      <c r="V125" s="3" t="s">
        <v>1397</v>
      </c>
      <c r="W125" s="4"/>
      <c r="X125" s="3" t="s">
        <v>4017</v>
      </c>
      <c r="Y125" s="3" t="s">
        <v>969</v>
      </c>
      <c r="Z125" s="3" t="s">
        <v>4018</v>
      </c>
      <c r="AA125" s="3" t="s">
        <v>971</v>
      </c>
      <c r="AB125" s="4"/>
      <c r="AC125" s="4"/>
      <c r="AD125" s="3" t="s">
        <v>4019</v>
      </c>
      <c r="AE125" s="3" t="s">
        <v>4020</v>
      </c>
      <c r="AF125" s="3" t="s">
        <v>4021</v>
      </c>
      <c r="AG125" s="3" t="s">
        <v>4022</v>
      </c>
      <c r="AH125" s="3" t="s">
        <v>971</v>
      </c>
      <c r="AI125" s="4"/>
      <c r="AJ125" s="4"/>
      <c r="AK125" s="4"/>
      <c r="AL125" s="3" t="s">
        <v>4023</v>
      </c>
      <c r="AM125" s="3" t="s">
        <v>4024</v>
      </c>
      <c r="AN125" s="3" t="s">
        <v>4025</v>
      </c>
      <c r="AO125" s="3" t="s">
        <v>4026</v>
      </c>
      <c r="AP125" s="3" t="s">
        <v>4027</v>
      </c>
      <c r="AQ125" s="3" t="s">
        <v>4028</v>
      </c>
      <c r="AR125" s="3" t="s">
        <v>4029</v>
      </c>
      <c r="AS125" s="3" t="s">
        <v>969</v>
      </c>
      <c r="AT125" s="3" t="s">
        <v>969</v>
      </c>
      <c r="AU125" s="3" t="s">
        <v>1039</v>
      </c>
      <c r="AV125" s="3" t="s">
        <v>4030</v>
      </c>
      <c r="AW125" s="4"/>
      <c r="AX125" s="3" t="s">
        <v>969</v>
      </c>
      <c r="AY125" s="27">
        <v>15.99</v>
      </c>
    </row>
    <row r="126" ht="15.75" customHeight="1">
      <c r="A126" s="24"/>
      <c r="B126" s="24">
        <v>128.0</v>
      </c>
      <c r="C126" s="5" t="s">
        <v>1</v>
      </c>
      <c r="D126" s="3" t="s">
        <v>953</v>
      </c>
      <c r="E126" s="25">
        <v>46208.70902777778</v>
      </c>
      <c r="F126" s="3" t="s">
        <v>4031</v>
      </c>
      <c r="G126" s="3" t="s">
        <v>4031</v>
      </c>
      <c r="H126" s="3" t="s">
        <v>4032</v>
      </c>
      <c r="I126" s="3" t="s">
        <v>4033</v>
      </c>
      <c r="J126" s="3" t="s">
        <v>4034</v>
      </c>
      <c r="K126" s="3" t="s">
        <v>1474</v>
      </c>
      <c r="L126" s="3" t="s">
        <v>4035</v>
      </c>
      <c r="M126" s="26">
        <v>39014.0</v>
      </c>
      <c r="N126" s="3" t="s">
        <v>4036</v>
      </c>
      <c r="O126" s="3" t="s">
        <v>4037</v>
      </c>
      <c r="P126" s="3" t="s">
        <v>4038</v>
      </c>
      <c r="Q126" s="4"/>
      <c r="R126" s="4"/>
      <c r="S126" s="3" t="s">
        <v>4039</v>
      </c>
      <c r="T126" s="3" t="s">
        <v>4040</v>
      </c>
      <c r="U126" s="3" t="s">
        <v>1370</v>
      </c>
      <c r="V126" s="3" t="s">
        <v>1896</v>
      </c>
      <c r="W126" s="3" t="s">
        <v>1397</v>
      </c>
      <c r="X126" s="3" t="s">
        <v>3992</v>
      </c>
      <c r="Y126" s="3" t="s">
        <v>969</v>
      </c>
      <c r="Z126" s="3" t="s">
        <v>2188</v>
      </c>
      <c r="AA126" s="3" t="s">
        <v>969</v>
      </c>
      <c r="AB126" s="3" t="s">
        <v>4041</v>
      </c>
      <c r="AC126" s="3" t="s">
        <v>969</v>
      </c>
      <c r="AD126" s="3" t="s">
        <v>4042</v>
      </c>
      <c r="AE126" s="3" t="s">
        <v>4043</v>
      </c>
      <c r="AF126" s="3" t="s">
        <v>4044</v>
      </c>
      <c r="AG126" s="3" t="s">
        <v>4045</v>
      </c>
      <c r="AH126" s="3" t="s">
        <v>971</v>
      </c>
      <c r="AI126" s="4"/>
      <c r="AJ126" s="4"/>
      <c r="AK126" s="4"/>
      <c r="AL126" s="3" t="s">
        <v>4046</v>
      </c>
      <c r="AM126" s="3" t="s">
        <v>4047</v>
      </c>
      <c r="AN126" s="3" t="s">
        <v>4048</v>
      </c>
      <c r="AO126" s="3" t="s">
        <v>4049</v>
      </c>
      <c r="AP126" s="3" t="s">
        <v>4050</v>
      </c>
      <c r="AQ126" s="3" t="s">
        <v>4051</v>
      </c>
      <c r="AR126" s="3" t="s">
        <v>4052</v>
      </c>
      <c r="AS126" s="3" t="s">
        <v>969</v>
      </c>
      <c r="AT126" s="3" t="s">
        <v>969</v>
      </c>
      <c r="AU126" s="3" t="s">
        <v>1039</v>
      </c>
      <c r="AV126" s="3" t="s">
        <v>4053</v>
      </c>
      <c r="AW126" s="3" t="s">
        <v>4054</v>
      </c>
      <c r="AX126" s="3" t="s">
        <v>969</v>
      </c>
      <c r="AY126" s="27">
        <v>15.99</v>
      </c>
    </row>
    <row r="127" ht="15.75" customHeight="1">
      <c r="A127" s="24"/>
      <c r="B127" s="24">
        <v>126.0</v>
      </c>
      <c r="C127" s="5" t="s">
        <v>1</v>
      </c>
      <c r="D127" s="3" t="s">
        <v>953</v>
      </c>
      <c r="E127" s="25">
        <v>46208.69861111111</v>
      </c>
      <c r="F127" s="3" t="s">
        <v>4055</v>
      </c>
      <c r="G127" s="3" t="s">
        <v>4056</v>
      </c>
      <c r="H127" s="3" t="s">
        <v>4057</v>
      </c>
      <c r="I127" s="3" t="s">
        <v>4057</v>
      </c>
      <c r="J127" s="3" t="s">
        <v>4058</v>
      </c>
      <c r="K127" s="3" t="s">
        <v>1916</v>
      </c>
      <c r="L127" s="3" t="s">
        <v>4059</v>
      </c>
      <c r="M127" s="26">
        <v>38855.0</v>
      </c>
      <c r="N127" s="3" t="s">
        <v>4060</v>
      </c>
      <c r="O127" s="3" t="s">
        <v>4059</v>
      </c>
      <c r="P127" s="4"/>
      <c r="Q127" s="3" t="s">
        <v>4061</v>
      </c>
      <c r="R127" s="4"/>
      <c r="S127" s="42" t="s">
        <v>4062</v>
      </c>
      <c r="T127" s="3" t="s">
        <v>4063</v>
      </c>
      <c r="U127" s="3" t="s">
        <v>1124</v>
      </c>
      <c r="V127" s="3" t="s">
        <v>4064</v>
      </c>
      <c r="W127" s="3" t="s">
        <v>4065</v>
      </c>
      <c r="X127" s="3" t="s">
        <v>4066</v>
      </c>
      <c r="Y127" s="3" t="s">
        <v>969</v>
      </c>
      <c r="Z127" s="3" t="s">
        <v>1399</v>
      </c>
      <c r="AA127" s="3" t="s">
        <v>971</v>
      </c>
      <c r="AB127" s="4"/>
      <c r="AC127" s="3" t="s">
        <v>969</v>
      </c>
      <c r="AD127" s="3" t="s">
        <v>4067</v>
      </c>
      <c r="AE127" s="3" t="s">
        <v>3264</v>
      </c>
      <c r="AF127" s="3" t="s">
        <v>1250</v>
      </c>
      <c r="AG127" s="3" t="s">
        <v>1030</v>
      </c>
      <c r="AH127" s="3" t="s">
        <v>971</v>
      </c>
      <c r="AI127" s="4"/>
      <c r="AJ127" s="3" t="s">
        <v>971</v>
      </c>
      <c r="AK127" s="4"/>
      <c r="AL127" s="3" t="s">
        <v>4068</v>
      </c>
      <c r="AM127" s="3" t="s">
        <v>4069</v>
      </c>
      <c r="AN127" s="3" t="s">
        <v>4070</v>
      </c>
      <c r="AO127" s="3" t="s">
        <v>4071</v>
      </c>
      <c r="AP127" s="3" t="s">
        <v>4072</v>
      </c>
      <c r="AQ127" s="3" t="s">
        <v>4073</v>
      </c>
      <c r="AR127" s="3" t="s">
        <v>4074</v>
      </c>
      <c r="AS127" s="3" t="s">
        <v>969</v>
      </c>
      <c r="AT127" s="3" t="s">
        <v>969</v>
      </c>
      <c r="AU127" s="3" t="s">
        <v>1039</v>
      </c>
      <c r="AV127" s="3" t="s">
        <v>4075</v>
      </c>
      <c r="AW127" s="3" t="s">
        <v>1288</v>
      </c>
      <c r="AX127" s="3" t="s">
        <v>969</v>
      </c>
      <c r="AY127" s="27">
        <v>15.99</v>
      </c>
    </row>
    <row r="128" ht="15.75" customHeight="1">
      <c r="A128" s="24"/>
      <c r="B128" s="24">
        <v>125.0</v>
      </c>
      <c r="C128" s="5" t="s">
        <v>1</v>
      </c>
      <c r="D128" s="3" t="s">
        <v>953</v>
      </c>
      <c r="E128" s="25">
        <v>46208.68333333333</v>
      </c>
      <c r="F128" s="3" t="s">
        <v>4076</v>
      </c>
      <c r="G128" s="3" t="s">
        <v>4076</v>
      </c>
      <c r="H128" s="3" t="s">
        <v>4077</v>
      </c>
      <c r="I128" s="3" t="s">
        <v>4077</v>
      </c>
      <c r="J128" s="3" t="s">
        <v>4078</v>
      </c>
      <c r="K128" s="3" t="s">
        <v>4079</v>
      </c>
      <c r="L128" s="3" t="s">
        <v>4080</v>
      </c>
      <c r="M128" s="26">
        <v>38994.0</v>
      </c>
      <c r="N128" s="3" t="s">
        <v>4081</v>
      </c>
      <c r="O128" s="3" t="s">
        <v>4082</v>
      </c>
      <c r="P128" s="4"/>
      <c r="Q128" s="3" t="s">
        <v>4083</v>
      </c>
      <c r="R128" s="4"/>
      <c r="S128" s="3" t="s">
        <v>4084</v>
      </c>
      <c r="T128" s="3" t="s">
        <v>4085</v>
      </c>
      <c r="U128" s="3" t="s">
        <v>3020</v>
      </c>
      <c r="V128" s="3" t="s">
        <v>4086</v>
      </c>
      <c r="W128" s="3" t="s">
        <v>4086</v>
      </c>
      <c r="X128" s="3" t="s">
        <v>4087</v>
      </c>
      <c r="Y128" s="3" t="s">
        <v>969</v>
      </c>
      <c r="Z128" s="3" t="s">
        <v>4088</v>
      </c>
      <c r="AA128" s="3" t="s">
        <v>971</v>
      </c>
      <c r="AB128" s="4"/>
      <c r="AC128" s="3" t="s">
        <v>4089</v>
      </c>
      <c r="AD128" s="3" t="s">
        <v>4090</v>
      </c>
      <c r="AE128" s="3" t="s">
        <v>3264</v>
      </c>
      <c r="AF128" s="3" t="s">
        <v>4091</v>
      </c>
      <c r="AG128" s="3" t="s">
        <v>4092</v>
      </c>
      <c r="AH128" s="3" t="s">
        <v>971</v>
      </c>
      <c r="AI128" s="4"/>
      <c r="AJ128" s="3" t="s">
        <v>966</v>
      </c>
      <c r="AK128" s="4"/>
      <c r="AL128" s="3" t="s">
        <v>4093</v>
      </c>
      <c r="AM128" s="3" t="s">
        <v>4094</v>
      </c>
      <c r="AN128" s="3" t="s">
        <v>4095</v>
      </c>
      <c r="AO128" s="3" t="s">
        <v>4096</v>
      </c>
      <c r="AP128" s="3" t="s">
        <v>4097</v>
      </c>
      <c r="AQ128" s="3" t="s">
        <v>4098</v>
      </c>
      <c r="AR128" s="3" t="s">
        <v>4099</v>
      </c>
      <c r="AS128" s="3" t="s">
        <v>969</v>
      </c>
      <c r="AT128" s="3" t="s">
        <v>969</v>
      </c>
      <c r="AU128" s="3" t="s">
        <v>1039</v>
      </c>
      <c r="AV128" s="3" t="s">
        <v>4100</v>
      </c>
      <c r="AW128" s="3" t="s">
        <v>1596</v>
      </c>
      <c r="AX128" s="3" t="s">
        <v>969</v>
      </c>
      <c r="AY128" s="27">
        <v>15.99</v>
      </c>
    </row>
    <row r="129" ht="15.75" customHeight="1">
      <c r="A129" s="24"/>
      <c r="B129" s="24">
        <v>124.0</v>
      </c>
      <c r="C129" s="5" t="s">
        <v>1</v>
      </c>
      <c r="D129" s="3" t="s">
        <v>953</v>
      </c>
      <c r="E129" s="25">
        <v>46208.67708333334</v>
      </c>
      <c r="F129" s="3" t="s">
        <v>4101</v>
      </c>
      <c r="G129" s="3" t="s">
        <v>4102</v>
      </c>
      <c r="H129" s="3" t="s">
        <v>4103</v>
      </c>
      <c r="I129" s="3" t="s">
        <v>4104</v>
      </c>
      <c r="J129" s="3" t="s">
        <v>4105</v>
      </c>
      <c r="K129" s="3" t="s">
        <v>1916</v>
      </c>
      <c r="L129" s="3" t="s">
        <v>4106</v>
      </c>
      <c r="M129" s="26">
        <v>32473.0</v>
      </c>
      <c r="N129" s="3" t="s">
        <v>4107</v>
      </c>
      <c r="O129" s="3" t="s">
        <v>4108</v>
      </c>
      <c r="P129" s="4"/>
      <c r="Q129" s="3" t="s">
        <v>4109</v>
      </c>
      <c r="R129" s="4"/>
      <c r="S129" s="3" t="s">
        <v>4110</v>
      </c>
      <c r="T129" s="3" t="s">
        <v>4111</v>
      </c>
      <c r="U129" s="3" t="s">
        <v>1509</v>
      </c>
      <c r="V129" s="3" t="s">
        <v>993</v>
      </c>
      <c r="W129" s="3" t="s">
        <v>4112</v>
      </c>
      <c r="X129" s="3" t="s">
        <v>4113</v>
      </c>
      <c r="Y129" s="3" t="s">
        <v>971</v>
      </c>
      <c r="Z129" s="3" t="s">
        <v>3050</v>
      </c>
      <c r="AA129" s="3" t="s">
        <v>971</v>
      </c>
      <c r="AB129" s="4"/>
      <c r="AC129" s="3" t="s">
        <v>969</v>
      </c>
      <c r="AD129" s="3" t="s">
        <v>971</v>
      </c>
      <c r="AE129" s="4"/>
      <c r="AF129" s="4"/>
      <c r="AG129" s="4"/>
      <c r="AH129" s="3" t="s">
        <v>969</v>
      </c>
      <c r="AI129" s="3" t="s">
        <v>4114</v>
      </c>
      <c r="AJ129" s="4"/>
      <c r="AK129" s="4"/>
      <c r="AL129" s="3" t="s">
        <v>4115</v>
      </c>
      <c r="AM129" s="3" t="s">
        <v>4116</v>
      </c>
      <c r="AN129" s="3" t="s">
        <v>4117</v>
      </c>
      <c r="AO129" s="3" t="s">
        <v>4118</v>
      </c>
      <c r="AP129" s="3" t="s">
        <v>4119</v>
      </c>
      <c r="AQ129" s="3" t="s">
        <v>4120</v>
      </c>
      <c r="AR129" s="3" t="s">
        <v>4121</v>
      </c>
      <c r="AS129" s="3" t="s">
        <v>969</v>
      </c>
      <c r="AT129" s="3" t="s">
        <v>969</v>
      </c>
      <c r="AU129" s="3" t="s">
        <v>981</v>
      </c>
      <c r="AV129" s="3" t="s">
        <v>1287</v>
      </c>
      <c r="AW129" s="3" t="s">
        <v>4122</v>
      </c>
      <c r="AX129" s="3" t="s">
        <v>969</v>
      </c>
      <c r="AY129" s="27">
        <v>15.99</v>
      </c>
    </row>
    <row r="130" ht="15.75" customHeight="1">
      <c r="A130" s="24"/>
      <c r="B130" s="24">
        <v>120.0</v>
      </c>
      <c r="C130" s="5" t="s">
        <v>1</v>
      </c>
      <c r="D130" s="3" t="s">
        <v>953</v>
      </c>
      <c r="E130" s="25">
        <v>46208.57569444444</v>
      </c>
      <c r="F130" s="3" t="s">
        <v>4123</v>
      </c>
      <c r="G130" s="3" t="s">
        <v>4124</v>
      </c>
      <c r="H130" s="3" t="s">
        <v>4125</v>
      </c>
      <c r="I130" s="3" t="s">
        <v>4126</v>
      </c>
      <c r="J130" s="3" t="s">
        <v>4127</v>
      </c>
      <c r="K130" s="3" t="s">
        <v>4128</v>
      </c>
      <c r="L130" s="3" t="s">
        <v>4129</v>
      </c>
      <c r="M130" s="26">
        <v>38896.0</v>
      </c>
      <c r="N130" s="3" t="s">
        <v>4130</v>
      </c>
      <c r="O130" s="3" t="s">
        <v>4131</v>
      </c>
      <c r="P130" s="4"/>
      <c r="Q130" s="4"/>
      <c r="R130" s="4"/>
      <c r="S130" s="3" t="s">
        <v>4132</v>
      </c>
      <c r="T130" s="3" t="s">
        <v>4133</v>
      </c>
      <c r="U130" s="3" t="s">
        <v>4134</v>
      </c>
      <c r="V130" s="3" t="s">
        <v>4135</v>
      </c>
      <c r="W130" s="3" t="s">
        <v>4136</v>
      </c>
      <c r="X130" s="3" t="s">
        <v>4137</v>
      </c>
      <c r="Y130" s="3" t="s">
        <v>969</v>
      </c>
      <c r="Z130" s="4"/>
      <c r="AA130" s="3" t="s">
        <v>971</v>
      </c>
      <c r="AB130" s="4"/>
      <c r="AC130" s="4"/>
      <c r="AD130" s="3" t="s">
        <v>4138</v>
      </c>
      <c r="AE130" s="3" t="s">
        <v>4139</v>
      </c>
      <c r="AF130" s="3" t="s">
        <v>4140</v>
      </c>
      <c r="AG130" s="3" t="s">
        <v>1541</v>
      </c>
      <c r="AH130" s="3" t="s">
        <v>971</v>
      </c>
      <c r="AI130" s="4"/>
      <c r="AJ130" s="4"/>
      <c r="AK130" s="4"/>
      <c r="AL130" s="3" t="s">
        <v>4141</v>
      </c>
      <c r="AM130" s="3" t="s">
        <v>4142</v>
      </c>
      <c r="AN130" s="3" t="s">
        <v>4143</v>
      </c>
      <c r="AO130" s="3" t="s">
        <v>4144</v>
      </c>
      <c r="AP130" s="3" t="s">
        <v>4145</v>
      </c>
      <c r="AQ130" s="3" t="s">
        <v>4146</v>
      </c>
      <c r="AR130" s="3" t="s">
        <v>4147</v>
      </c>
      <c r="AS130" s="3" t="s">
        <v>969</v>
      </c>
      <c r="AT130" s="3" t="s">
        <v>969</v>
      </c>
      <c r="AU130" s="3" t="s">
        <v>1233</v>
      </c>
      <c r="AV130" s="3" t="s">
        <v>4148</v>
      </c>
      <c r="AW130" s="4"/>
      <c r="AX130" s="3" t="s">
        <v>969</v>
      </c>
      <c r="AY130" s="27">
        <v>15.99</v>
      </c>
    </row>
    <row r="131" ht="15.75" customHeight="1">
      <c r="A131" s="24"/>
      <c r="B131" s="24">
        <v>117.0</v>
      </c>
      <c r="C131" s="5" t="s">
        <v>1</v>
      </c>
      <c r="D131" s="3" t="s">
        <v>953</v>
      </c>
      <c r="E131" s="25">
        <v>46208.14305555556</v>
      </c>
      <c r="F131" s="3" t="s">
        <v>4149</v>
      </c>
      <c r="G131" s="3" t="s">
        <v>4150</v>
      </c>
      <c r="H131" s="3" t="s">
        <v>4151</v>
      </c>
      <c r="I131" s="3" t="s">
        <v>4152</v>
      </c>
      <c r="J131" s="3" t="s">
        <v>4153</v>
      </c>
      <c r="K131" s="3" t="s">
        <v>1653</v>
      </c>
      <c r="L131" s="3" t="s">
        <v>4154</v>
      </c>
      <c r="M131" s="26">
        <v>32997.0</v>
      </c>
      <c r="N131" s="3" t="s">
        <v>4155</v>
      </c>
      <c r="O131" s="3" t="s">
        <v>4156</v>
      </c>
      <c r="P131" s="4"/>
      <c r="Q131" s="4"/>
      <c r="R131" s="4"/>
      <c r="S131" s="3" t="s">
        <v>4157</v>
      </c>
      <c r="T131" s="3" t="s">
        <v>4158</v>
      </c>
      <c r="U131" s="3" t="s">
        <v>4159</v>
      </c>
      <c r="V131" s="3" t="s">
        <v>4160</v>
      </c>
      <c r="W131" s="3" t="s">
        <v>4161</v>
      </c>
      <c r="X131" s="3" t="s">
        <v>4162</v>
      </c>
      <c r="Y131" s="3" t="s">
        <v>969</v>
      </c>
      <c r="Z131" s="3" t="s">
        <v>4163</v>
      </c>
      <c r="AA131" s="3" t="s">
        <v>971</v>
      </c>
      <c r="AB131" s="4"/>
      <c r="AC131" s="3" t="s">
        <v>4164</v>
      </c>
      <c r="AD131" s="3" t="s">
        <v>4165</v>
      </c>
      <c r="AE131" s="4"/>
      <c r="AF131" s="3" t="s">
        <v>4166</v>
      </c>
      <c r="AG131" s="3" t="s">
        <v>1878</v>
      </c>
      <c r="AH131" s="3" t="s">
        <v>969</v>
      </c>
      <c r="AI131" s="3" t="s">
        <v>4167</v>
      </c>
      <c r="AJ131" s="3" t="s">
        <v>6</v>
      </c>
      <c r="AK131" s="3" t="s">
        <v>4168</v>
      </c>
      <c r="AL131" s="3" t="s">
        <v>4169</v>
      </c>
      <c r="AM131" s="3" t="s">
        <v>4170</v>
      </c>
      <c r="AN131" s="3" t="s">
        <v>4171</v>
      </c>
      <c r="AO131" s="3" t="s">
        <v>4172</v>
      </c>
      <c r="AP131" s="3" t="s">
        <v>4173</v>
      </c>
      <c r="AQ131" s="3" t="s">
        <v>4174</v>
      </c>
      <c r="AR131" s="3" t="s">
        <v>4175</v>
      </c>
      <c r="AS131" s="3" t="s">
        <v>969</v>
      </c>
      <c r="AT131" s="3" t="s">
        <v>969</v>
      </c>
      <c r="AU131" s="3" t="s">
        <v>1039</v>
      </c>
      <c r="AV131" s="3" t="s">
        <v>4176</v>
      </c>
      <c r="AW131" s="3" t="s">
        <v>4177</v>
      </c>
      <c r="AX131" s="3" t="s">
        <v>969</v>
      </c>
      <c r="AY131" s="27">
        <v>15.99</v>
      </c>
    </row>
    <row r="132" ht="15.75" customHeight="1">
      <c r="A132" s="24"/>
      <c r="B132" s="24">
        <v>116.0</v>
      </c>
      <c r="C132" s="5" t="s">
        <v>1</v>
      </c>
      <c r="D132" s="3" t="s">
        <v>953</v>
      </c>
      <c r="E132" s="25">
        <v>46207.98541666667</v>
      </c>
      <c r="F132" s="3" t="s">
        <v>4178</v>
      </c>
      <c r="G132" s="3" t="s">
        <v>4179</v>
      </c>
      <c r="H132" s="3" t="s">
        <v>4180</v>
      </c>
      <c r="I132" s="3" t="s">
        <v>4181</v>
      </c>
      <c r="J132" s="3" t="s">
        <v>4182</v>
      </c>
      <c r="K132" s="3" t="s">
        <v>1653</v>
      </c>
      <c r="L132" s="3" t="s">
        <v>4183</v>
      </c>
      <c r="M132" s="26">
        <v>36526.0</v>
      </c>
      <c r="N132" s="3" t="s">
        <v>4184</v>
      </c>
      <c r="O132" s="3" t="s">
        <v>4185</v>
      </c>
      <c r="P132" s="4"/>
      <c r="Q132" s="3" t="s">
        <v>4186</v>
      </c>
      <c r="R132" s="4"/>
      <c r="S132" s="3" t="s">
        <v>4187</v>
      </c>
      <c r="T132" s="3" t="s">
        <v>4188</v>
      </c>
      <c r="U132" s="3" t="s">
        <v>1396</v>
      </c>
      <c r="V132" s="3" t="s">
        <v>4189</v>
      </c>
      <c r="W132" s="3" t="s">
        <v>4190</v>
      </c>
      <c r="X132" s="3" t="s">
        <v>4191</v>
      </c>
      <c r="Y132" s="3" t="s">
        <v>971</v>
      </c>
      <c r="Z132" s="3" t="s">
        <v>1979</v>
      </c>
      <c r="AA132" s="3" t="s">
        <v>971</v>
      </c>
      <c r="AB132" s="4"/>
      <c r="AC132" s="3" t="s">
        <v>1426</v>
      </c>
      <c r="AD132" s="3" t="s">
        <v>4192</v>
      </c>
      <c r="AE132" s="3" t="s">
        <v>4193</v>
      </c>
      <c r="AF132" s="3" t="s">
        <v>4194</v>
      </c>
      <c r="AG132" s="3" t="s">
        <v>4195</v>
      </c>
      <c r="AH132" s="3" t="s">
        <v>969</v>
      </c>
      <c r="AI132" s="3" t="s">
        <v>4196</v>
      </c>
      <c r="AJ132" s="3" t="s">
        <v>6</v>
      </c>
      <c r="AK132" s="3" t="s">
        <v>4197</v>
      </c>
      <c r="AL132" s="3" t="s">
        <v>4198</v>
      </c>
      <c r="AM132" s="3" t="s">
        <v>4199</v>
      </c>
      <c r="AN132" s="3" t="s">
        <v>4200</v>
      </c>
      <c r="AO132" s="3" t="s">
        <v>4201</v>
      </c>
      <c r="AP132" s="3" t="s">
        <v>4202</v>
      </c>
      <c r="AQ132" s="3" t="s">
        <v>4203</v>
      </c>
      <c r="AR132" s="3" t="s">
        <v>4204</v>
      </c>
      <c r="AS132" s="3" t="s">
        <v>969</v>
      </c>
      <c r="AT132" s="3" t="s">
        <v>969</v>
      </c>
      <c r="AU132" s="3" t="s">
        <v>1409</v>
      </c>
      <c r="AV132" s="3" t="s">
        <v>1287</v>
      </c>
      <c r="AW132" s="3" t="s">
        <v>4205</v>
      </c>
      <c r="AX132" s="3" t="s">
        <v>969</v>
      </c>
      <c r="AY132" s="27">
        <v>15.99</v>
      </c>
    </row>
    <row r="133" ht="15.75" customHeight="1">
      <c r="A133" s="24"/>
      <c r="B133" s="24">
        <v>111.0</v>
      </c>
      <c r="C133" s="5" t="s">
        <v>1</v>
      </c>
      <c r="D133" s="3" t="s">
        <v>953</v>
      </c>
      <c r="E133" s="25">
        <v>46207.61597222222</v>
      </c>
      <c r="F133" s="3" t="s">
        <v>4206</v>
      </c>
      <c r="G133" s="3" t="s">
        <v>4206</v>
      </c>
      <c r="H133" s="3" t="s">
        <v>4207</v>
      </c>
      <c r="I133" s="3" t="s">
        <v>4208</v>
      </c>
      <c r="J133" s="3" t="s">
        <v>4209</v>
      </c>
      <c r="K133" s="3" t="s">
        <v>1015</v>
      </c>
      <c r="L133" s="3" t="s">
        <v>4210</v>
      </c>
      <c r="M133" s="26">
        <v>34756.0</v>
      </c>
      <c r="N133" s="3" t="s">
        <v>4211</v>
      </c>
      <c r="O133" s="3" t="s">
        <v>4212</v>
      </c>
      <c r="P133" s="3" t="s">
        <v>4213</v>
      </c>
      <c r="Q133" s="3" t="s">
        <v>4214</v>
      </c>
      <c r="R133" s="3" t="s">
        <v>4206</v>
      </c>
      <c r="S133" s="3" t="s">
        <v>4215</v>
      </c>
      <c r="T133" s="3" t="s">
        <v>4216</v>
      </c>
      <c r="U133" s="3" t="s">
        <v>4217</v>
      </c>
      <c r="V133" s="3" t="s">
        <v>4218</v>
      </c>
      <c r="W133" s="3" t="s">
        <v>4219</v>
      </c>
      <c r="X133" s="3" t="s">
        <v>4220</v>
      </c>
      <c r="Y133" s="3" t="s">
        <v>969</v>
      </c>
      <c r="Z133" s="3" t="s">
        <v>1026</v>
      </c>
      <c r="AA133" s="3" t="s">
        <v>971</v>
      </c>
      <c r="AB133" s="4"/>
      <c r="AC133" s="3" t="s">
        <v>4221</v>
      </c>
      <c r="AD133" s="3" t="s">
        <v>4222</v>
      </c>
      <c r="AE133" s="3" t="s">
        <v>4223</v>
      </c>
      <c r="AF133" s="3" t="s">
        <v>1250</v>
      </c>
      <c r="AG133" s="3" t="s">
        <v>1611</v>
      </c>
      <c r="AH133" s="3" t="s">
        <v>969</v>
      </c>
      <c r="AI133" s="3" t="s">
        <v>4224</v>
      </c>
      <c r="AJ133" s="3" t="s">
        <v>971</v>
      </c>
      <c r="AK133" s="3" t="s">
        <v>1684</v>
      </c>
      <c r="AL133" s="3" t="s">
        <v>4225</v>
      </c>
      <c r="AM133" s="3" t="s">
        <v>4226</v>
      </c>
      <c r="AN133" s="3" t="s">
        <v>4227</v>
      </c>
      <c r="AO133" s="3" t="s">
        <v>4228</v>
      </c>
      <c r="AP133" s="3" t="s">
        <v>4229</v>
      </c>
      <c r="AQ133" s="3" t="s">
        <v>4230</v>
      </c>
      <c r="AR133" s="3" t="s">
        <v>4231</v>
      </c>
      <c r="AS133" s="3" t="s">
        <v>969</v>
      </c>
      <c r="AT133" s="3" t="s">
        <v>969</v>
      </c>
      <c r="AU133" s="3" t="s">
        <v>1039</v>
      </c>
      <c r="AV133" s="3" t="s">
        <v>1287</v>
      </c>
      <c r="AW133" s="3" t="s">
        <v>4232</v>
      </c>
      <c r="AX133" s="3" t="s">
        <v>969</v>
      </c>
      <c r="AY133" s="27">
        <v>15.99</v>
      </c>
    </row>
    <row r="134" ht="15.75" customHeight="1">
      <c r="A134" s="24"/>
      <c r="B134" s="24">
        <v>109.0</v>
      </c>
      <c r="C134" s="5" t="s">
        <v>1</v>
      </c>
      <c r="D134" s="3" t="s">
        <v>953</v>
      </c>
      <c r="E134" s="25">
        <v>46207.60277777778</v>
      </c>
      <c r="F134" s="3" t="s">
        <v>4233</v>
      </c>
      <c r="G134" s="3" t="s">
        <v>4233</v>
      </c>
      <c r="H134" s="3" t="s">
        <v>4234</v>
      </c>
      <c r="I134" s="3" t="s">
        <v>4235</v>
      </c>
      <c r="J134" s="3" t="s">
        <v>4236</v>
      </c>
      <c r="K134" s="3" t="s">
        <v>4237</v>
      </c>
      <c r="L134" s="3" t="s">
        <v>4238</v>
      </c>
      <c r="M134" s="26">
        <v>37772.0</v>
      </c>
      <c r="N134" s="3" t="s">
        <v>4239</v>
      </c>
      <c r="O134" s="3" t="s">
        <v>4240</v>
      </c>
      <c r="P134" s="3" t="s">
        <v>4241</v>
      </c>
      <c r="Q134" s="3" t="s">
        <v>4242</v>
      </c>
      <c r="R134" s="4"/>
      <c r="S134" s="3" t="s">
        <v>4243</v>
      </c>
      <c r="T134" s="3" t="s">
        <v>4244</v>
      </c>
      <c r="U134" s="3" t="s">
        <v>1050</v>
      </c>
      <c r="V134" s="3" t="s">
        <v>1050</v>
      </c>
      <c r="W134" s="3" t="s">
        <v>4245</v>
      </c>
      <c r="X134" s="3" t="s">
        <v>4246</v>
      </c>
      <c r="Y134" s="3" t="s">
        <v>971</v>
      </c>
      <c r="Z134" s="3" t="s">
        <v>4237</v>
      </c>
      <c r="AA134" s="3" t="s">
        <v>969</v>
      </c>
      <c r="AB134" s="3" t="s">
        <v>4247</v>
      </c>
      <c r="AC134" s="3" t="s">
        <v>4248</v>
      </c>
      <c r="AD134" s="3" t="s">
        <v>4249</v>
      </c>
      <c r="AE134" s="3" t="s">
        <v>4250</v>
      </c>
      <c r="AF134" s="3" t="s">
        <v>4251</v>
      </c>
      <c r="AG134" s="3" t="s">
        <v>4252</v>
      </c>
      <c r="AH134" s="3" t="s">
        <v>969</v>
      </c>
      <c r="AI134" s="3" t="s">
        <v>4253</v>
      </c>
      <c r="AJ134" s="3" t="s">
        <v>2733</v>
      </c>
      <c r="AK134" s="4"/>
      <c r="AL134" s="3" t="s">
        <v>4254</v>
      </c>
      <c r="AM134" s="3" t="s">
        <v>4255</v>
      </c>
      <c r="AN134" s="3" t="s">
        <v>4256</v>
      </c>
      <c r="AO134" s="3" t="s">
        <v>4257</v>
      </c>
      <c r="AP134" s="3" t="s">
        <v>4258</v>
      </c>
      <c r="AQ134" s="3" t="s">
        <v>4259</v>
      </c>
      <c r="AR134" s="3" t="s">
        <v>4260</v>
      </c>
      <c r="AS134" s="3" t="s">
        <v>969</v>
      </c>
      <c r="AT134" s="3" t="s">
        <v>971</v>
      </c>
      <c r="AU134" s="3" t="s">
        <v>981</v>
      </c>
      <c r="AV134" s="3" t="s">
        <v>2049</v>
      </c>
      <c r="AW134" s="3" t="s">
        <v>1288</v>
      </c>
      <c r="AX134" s="3" t="s">
        <v>969</v>
      </c>
      <c r="AY134" s="27">
        <v>15.99</v>
      </c>
    </row>
    <row r="135" ht="15.75" customHeight="1">
      <c r="A135" s="24"/>
      <c r="B135" s="24">
        <v>101.0</v>
      </c>
      <c r="C135" s="5" t="s">
        <v>1</v>
      </c>
      <c r="D135" s="3" t="s">
        <v>953</v>
      </c>
      <c r="E135" s="25">
        <v>46206.33958333333</v>
      </c>
      <c r="F135" s="3" t="s">
        <v>4261</v>
      </c>
      <c r="G135" s="3" t="s">
        <v>4262</v>
      </c>
      <c r="H135" s="3" t="s">
        <v>4263</v>
      </c>
      <c r="I135" s="3" t="s">
        <v>4264</v>
      </c>
      <c r="J135" s="4"/>
      <c r="K135" s="3" t="s">
        <v>130</v>
      </c>
      <c r="L135" s="3" t="s">
        <v>4265</v>
      </c>
      <c r="M135" s="26">
        <v>39196.0</v>
      </c>
      <c r="N135" s="3" t="s">
        <v>4266</v>
      </c>
      <c r="O135" s="3" t="s">
        <v>4267</v>
      </c>
      <c r="P135" s="4"/>
      <c r="Q135" s="4"/>
      <c r="R135" s="4"/>
      <c r="S135" s="3" t="s">
        <v>963</v>
      </c>
      <c r="T135" s="3" t="s">
        <v>4268</v>
      </c>
      <c r="U135" s="3" t="s">
        <v>1124</v>
      </c>
      <c r="V135" s="3" t="s">
        <v>4269</v>
      </c>
      <c r="W135" s="3" t="s">
        <v>1397</v>
      </c>
      <c r="X135" s="3" t="s">
        <v>4270</v>
      </c>
      <c r="Y135" s="3" t="s">
        <v>969</v>
      </c>
      <c r="Z135" s="3" t="s">
        <v>1425</v>
      </c>
      <c r="AA135" s="3" t="s">
        <v>971</v>
      </c>
      <c r="AB135" s="3" t="s">
        <v>4270</v>
      </c>
      <c r="AC135" s="4"/>
      <c r="AD135" s="3" t="s">
        <v>4271</v>
      </c>
      <c r="AE135" s="3" t="s">
        <v>4272</v>
      </c>
      <c r="AF135" s="3" t="s">
        <v>4273</v>
      </c>
      <c r="AG135" s="3" t="s">
        <v>1030</v>
      </c>
      <c r="AH135" s="3" t="s">
        <v>971</v>
      </c>
      <c r="AI135" s="4"/>
      <c r="AJ135" s="3" t="s">
        <v>4274</v>
      </c>
      <c r="AK135" s="3" t="s">
        <v>4275</v>
      </c>
      <c r="AL135" s="3" t="s">
        <v>4276</v>
      </c>
      <c r="AM135" s="3" t="s">
        <v>4277</v>
      </c>
      <c r="AN135" s="3" t="s">
        <v>4278</v>
      </c>
      <c r="AO135" s="3" t="s">
        <v>4279</v>
      </c>
      <c r="AP135" s="3" t="s">
        <v>4280</v>
      </c>
      <c r="AQ135" s="3" t="s">
        <v>4281</v>
      </c>
      <c r="AR135" s="3" t="s">
        <v>4282</v>
      </c>
      <c r="AS135" s="3" t="s">
        <v>969</v>
      </c>
      <c r="AT135" s="3" t="s">
        <v>969</v>
      </c>
      <c r="AU135" s="3" t="s">
        <v>981</v>
      </c>
      <c r="AV135" s="3" t="s">
        <v>917</v>
      </c>
      <c r="AW135" s="4"/>
      <c r="AX135" s="3" t="s">
        <v>969</v>
      </c>
      <c r="AY135" s="27">
        <v>15.99</v>
      </c>
    </row>
    <row r="136" ht="15.75" customHeight="1">
      <c r="A136" s="24"/>
      <c r="B136" s="24">
        <v>99.0</v>
      </c>
      <c r="C136" s="5" t="s">
        <v>1</v>
      </c>
      <c r="D136" s="3" t="s">
        <v>953</v>
      </c>
      <c r="E136" s="25">
        <v>46205.77569444444</v>
      </c>
      <c r="F136" s="3" t="s">
        <v>4283</v>
      </c>
      <c r="G136" s="3" t="s">
        <v>4283</v>
      </c>
      <c r="H136" s="3" t="s">
        <v>4284</v>
      </c>
      <c r="I136" s="3" t="s">
        <v>4285</v>
      </c>
      <c r="J136" s="3" t="s">
        <v>4286</v>
      </c>
      <c r="K136" s="3" t="s">
        <v>4287</v>
      </c>
      <c r="L136" s="3" t="s">
        <v>4288</v>
      </c>
      <c r="M136" s="26">
        <v>35326.0</v>
      </c>
      <c r="N136" s="3" t="s">
        <v>4289</v>
      </c>
      <c r="O136" s="3" t="s">
        <v>4290</v>
      </c>
      <c r="P136" s="3" t="s">
        <v>4291</v>
      </c>
      <c r="Q136" s="3" t="s">
        <v>4292</v>
      </c>
      <c r="R136" s="4"/>
      <c r="S136" s="3" t="s">
        <v>4293</v>
      </c>
      <c r="T136" s="3" t="s">
        <v>4294</v>
      </c>
      <c r="U136" s="3" t="s">
        <v>3233</v>
      </c>
      <c r="V136" s="3" t="s">
        <v>4295</v>
      </c>
      <c r="W136" s="3" t="s">
        <v>4296</v>
      </c>
      <c r="X136" s="3" t="s">
        <v>4297</v>
      </c>
      <c r="Y136" s="3" t="s">
        <v>969</v>
      </c>
      <c r="Z136" s="3" t="s">
        <v>1825</v>
      </c>
      <c r="AA136" s="3" t="s">
        <v>969</v>
      </c>
      <c r="AB136" s="3" t="s">
        <v>4298</v>
      </c>
      <c r="AC136" s="3" t="s">
        <v>4299</v>
      </c>
      <c r="AD136" s="3" t="s">
        <v>4300</v>
      </c>
      <c r="AE136" s="3" t="s">
        <v>4301</v>
      </c>
      <c r="AF136" s="3" t="s">
        <v>4302</v>
      </c>
      <c r="AG136" s="3" t="s">
        <v>4303</v>
      </c>
      <c r="AH136" s="3" t="s">
        <v>971</v>
      </c>
      <c r="AI136" s="4"/>
      <c r="AJ136" s="3" t="s">
        <v>969</v>
      </c>
      <c r="AK136" s="3" t="s">
        <v>4304</v>
      </c>
      <c r="AL136" s="3" t="s">
        <v>4305</v>
      </c>
      <c r="AM136" s="3" t="s">
        <v>4306</v>
      </c>
      <c r="AN136" s="3" t="s">
        <v>4307</v>
      </c>
      <c r="AO136" s="3" t="s">
        <v>4308</v>
      </c>
      <c r="AP136" s="3" t="s">
        <v>4309</v>
      </c>
      <c r="AQ136" s="3" t="s">
        <v>4310</v>
      </c>
      <c r="AR136" s="3" t="s">
        <v>4311</v>
      </c>
      <c r="AS136" s="3" t="s">
        <v>969</v>
      </c>
      <c r="AT136" s="3" t="s">
        <v>969</v>
      </c>
      <c r="AU136" s="3" t="s">
        <v>981</v>
      </c>
      <c r="AV136" s="3" t="s">
        <v>4312</v>
      </c>
      <c r="AW136" s="4"/>
      <c r="AX136" s="3" t="s">
        <v>969</v>
      </c>
      <c r="AY136" s="27">
        <v>15.99</v>
      </c>
    </row>
    <row r="137" ht="15.75" customHeight="1">
      <c r="A137" s="24"/>
      <c r="B137" s="24">
        <v>96.0</v>
      </c>
      <c r="C137" s="5" t="s">
        <v>1</v>
      </c>
      <c r="D137" s="3" t="s">
        <v>953</v>
      </c>
      <c r="E137" s="25">
        <v>46205.04305555556</v>
      </c>
      <c r="F137" s="3" t="s">
        <v>4313</v>
      </c>
      <c r="G137" s="3" t="s">
        <v>4313</v>
      </c>
      <c r="H137" s="3" t="s">
        <v>4314</v>
      </c>
      <c r="I137" s="3" t="s">
        <v>4315</v>
      </c>
      <c r="J137" s="3" t="s">
        <v>4316</v>
      </c>
      <c r="K137" s="3" t="s">
        <v>4317</v>
      </c>
      <c r="L137" s="3" t="s">
        <v>4318</v>
      </c>
      <c r="M137" s="26">
        <v>35400.0</v>
      </c>
      <c r="N137" s="3" t="s">
        <v>4319</v>
      </c>
      <c r="O137" s="3" t="s">
        <v>4320</v>
      </c>
      <c r="P137" s="3" t="s">
        <v>4321</v>
      </c>
      <c r="Q137" s="3" t="s">
        <v>4322</v>
      </c>
      <c r="R137" s="4"/>
      <c r="S137" s="3" t="s">
        <v>4323</v>
      </c>
      <c r="T137" s="3" t="s">
        <v>4324</v>
      </c>
      <c r="U137" s="3" t="s">
        <v>4325</v>
      </c>
      <c r="V137" s="3" t="s">
        <v>4326</v>
      </c>
      <c r="W137" s="3" t="s">
        <v>4327</v>
      </c>
      <c r="X137" s="3" t="s">
        <v>4328</v>
      </c>
      <c r="Y137" s="3" t="s">
        <v>969</v>
      </c>
      <c r="Z137" s="3" t="s">
        <v>4329</v>
      </c>
      <c r="AA137" s="3" t="s">
        <v>971</v>
      </c>
      <c r="AB137" s="4"/>
      <c r="AC137" s="3" t="s">
        <v>4330</v>
      </c>
      <c r="AD137" s="3" t="s">
        <v>4331</v>
      </c>
      <c r="AE137" s="3" t="s">
        <v>4332</v>
      </c>
      <c r="AF137" s="3" t="s">
        <v>4333</v>
      </c>
      <c r="AG137" s="3" t="s">
        <v>1878</v>
      </c>
      <c r="AH137" s="3" t="s">
        <v>971</v>
      </c>
      <c r="AI137" s="3" t="s">
        <v>4334</v>
      </c>
      <c r="AJ137" s="3" t="s">
        <v>4335</v>
      </c>
      <c r="AK137" s="3" t="s">
        <v>4336</v>
      </c>
      <c r="AL137" s="3" t="s">
        <v>4337</v>
      </c>
      <c r="AM137" s="3" t="s">
        <v>4338</v>
      </c>
      <c r="AN137" s="3" t="s">
        <v>4339</v>
      </c>
      <c r="AO137" s="3" t="s">
        <v>4340</v>
      </c>
      <c r="AP137" s="3" t="s">
        <v>4341</v>
      </c>
      <c r="AQ137" s="3" t="s">
        <v>4342</v>
      </c>
      <c r="AR137" s="3" t="s">
        <v>4343</v>
      </c>
      <c r="AS137" s="3" t="s">
        <v>969</v>
      </c>
      <c r="AT137" s="3" t="s">
        <v>969</v>
      </c>
      <c r="AU137" s="3" t="s">
        <v>981</v>
      </c>
      <c r="AV137" s="3" t="s">
        <v>1261</v>
      </c>
      <c r="AW137" s="3" t="s">
        <v>4344</v>
      </c>
      <c r="AX137" s="3" t="s">
        <v>969</v>
      </c>
      <c r="AY137" s="27">
        <v>15.99</v>
      </c>
    </row>
    <row r="138" ht="15.75" customHeight="1">
      <c r="A138" s="24"/>
      <c r="B138" s="24">
        <v>95.0</v>
      </c>
      <c r="C138" s="5" t="s">
        <v>1</v>
      </c>
      <c r="D138" s="3" t="s">
        <v>953</v>
      </c>
      <c r="E138" s="25">
        <v>46204.73125</v>
      </c>
      <c r="F138" s="3" t="s">
        <v>4345</v>
      </c>
      <c r="G138" s="3" t="s">
        <v>4346</v>
      </c>
      <c r="H138" s="3" t="s">
        <v>4347</v>
      </c>
      <c r="I138" s="3" t="s">
        <v>4348</v>
      </c>
      <c r="J138" s="3" t="s">
        <v>4349</v>
      </c>
      <c r="K138" s="3" t="s">
        <v>2348</v>
      </c>
      <c r="L138" s="3" t="s">
        <v>4350</v>
      </c>
      <c r="M138" s="26">
        <v>40750.0</v>
      </c>
      <c r="N138" s="3" t="s">
        <v>4351</v>
      </c>
      <c r="O138" s="3" t="s">
        <v>4352</v>
      </c>
      <c r="P138" s="4"/>
      <c r="Q138" s="4"/>
      <c r="R138" s="4"/>
      <c r="S138" s="3" t="s">
        <v>4353</v>
      </c>
      <c r="T138" s="3" t="s">
        <v>4354</v>
      </c>
      <c r="U138" s="3" t="s">
        <v>4355</v>
      </c>
      <c r="V138" s="3" t="s">
        <v>4356</v>
      </c>
      <c r="W138" s="3" t="s">
        <v>4357</v>
      </c>
      <c r="X138" s="3" t="s">
        <v>4358</v>
      </c>
      <c r="Y138" s="3" t="s">
        <v>969</v>
      </c>
      <c r="Z138" s="3" t="s">
        <v>2332</v>
      </c>
      <c r="AA138" s="3" t="s">
        <v>971</v>
      </c>
      <c r="AB138" s="4"/>
      <c r="AC138" s="4"/>
      <c r="AD138" s="3" t="s">
        <v>4359</v>
      </c>
      <c r="AE138" s="3" t="s">
        <v>4360</v>
      </c>
      <c r="AF138" s="3" t="s">
        <v>4361</v>
      </c>
      <c r="AG138" s="3" t="s">
        <v>1002</v>
      </c>
      <c r="AH138" s="3" t="s">
        <v>971</v>
      </c>
      <c r="AI138" s="4"/>
      <c r="AJ138" s="4"/>
      <c r="AK138" s="4"/>
      <c r="AL138" s="3" t="s">
        <v>4362</v>
      </c>
      <c r="AM138" s="3" t="s">
        <v>4363</v>
      </c>
      <c r="AN138" s="3" t="s">
        <v>4364</v>
      </c>
      <c r="AO138" s="3" t="s">
        <v>4365</v>
      </c>
      <c r="AP138" s="3" t="s">
        <v>4366</v>
      </c>
      <c r="AQ138" s="3" t="s">
        <v>4367</v>
      </c>
      <c r="AR138" s="3" t="s">
        <v>4368</v>
      </c>
      <c r="AS138" s="3" t="s">
        <v>971</v>
      </c>
      <c r="AT138" s="3" t="s">
        <v>971</v>
      </c>
      <c r="AU138" s="3" t="s">
        <v>1039</v>
      </c>
      <c r="AV138" s="3" t="s">
        <v>1938</v>
      </c>
      <c r="AW138" s="3" t="s">
        <v>1288</v>
      </c>
      <c r="AX138" s="3" t="s">
        <v>969</v>
      </c>
      <c r="AY138" s="27">
        <v>15.99</v>
      </c>
    </row>
    <row r="139" ht="15.75" customHeight="1">
      <c r="A139" s="24"/>
      <c r="B139" s="24">
        <v>91.0</v>
      </c>
      <c r="C139" s="5" t="s">
        <v>1</v>
      </c>
      <c r="D139" s="3" t="s">
        <v>953</v>
      </c>
      <c r="E139" s="25">
        <v>46203.88819444444</v>
      </c>
      <c r="F139" s="3" t="s">
        <v>4369</v>
      </c>
      <c r="G139" s="3" t="s">
        <v>4370</v>
      </c>
      <c r="H139" s="3" t="s">
        <v>4371</v>
      </c>
      <c r="I139" s="3" t="s">
        <v>4372</v>
      </c>
      <c r="J139" s="3" t="s">
        <v>4373</v>
      </c>
      <c r="K139" s="3" t="s">
        <v>4374</v>
      </c>
      <c r="L139" s="3" t="s">
        <v>4375</v>
      </c>
      <c r="M139" s="26">
        <v>35564.0</v>
      </c>
      <c r="N139" s="3" t="s">
        <v>4376</v>
      </c>
      <c r="O139" s="3" t="s">
        <v>4377</v>
      </c>
      <c r="P139" s="3" t="s">
        <v>4378</v>
      </c>
      <c r="Q139" s="3" t="s">
        <v>4379</v>
      </c>
      <c r="R139" s="4"/>
      <c r="S139" s="3" t="s">
        <v>4380</v>
      </c>
      <c r="T139" s="3" t="s">
        <v>2328</v>
      </c>
      <c r="U139" s="3" t="s">
        <v>1370</v>
      </c>
      <c r="V139" s="3" t="s">
        <v>1370</v>
      </c>
      <c r="W139" s="3" t="s">
        <v>4381</v>
      </c>
      <c r="X139" s="3" t="s">
        <v>4382</v>
      </c>
      <c r="Y139" s="3" t="s">
        <v>971</v>
      </c>
      <c r="Z139" s="3" t="s">
        <v>4374</v>
      </c>
      <c r="AA139" s="3" t="s">
        <v>971</v>
      </c>
      <c r="AB139" s="4"/>
      <c r="AC139" s="3" t="s">
        <v>4383</v>
      </c>
      <c r="AD139" s="3" t="s">
        <v>4384</v>
      </c>
      <c r="AE139" s="3" t="s">
        <v>4385</v>
      </c>
      <c r="AF139" s="3" t="s">
        <v>4386</v>
      </c>
      <c r="AG139" s="3" t="s">
        <v>4387</v>
      </c>
      <c r="AH139" s="3" t="s">
        <v>969</v>
      </c>
      <c r="AI139" s="3" t="s">
        <v>4386</v>
      </c>
      <c r="AJ139" s="3" t="s">
        <v>969</v>
      </c>
      <c r="AK139" s="3" t="s">
        <v>4388</v>
      </c>
      <c r="AL139" s="3" t="s">
        <v>4389</v>
      </c>
      <c r="AM139" s="3" t="s">
        <v>4390</v>
      </c>
      <c r="AN139" s="3" t="s">
        <v>4391</v>
      </c>
      <c r="AO139" s="3" t="s">
        <v>4392</v>
      </c>
      <c r="AP139" s="3" t="s">
        <v>4393</v>
      </c>
      <c r="AQ139" s="3" t="s">
        <v>4394</v>
      </c>
      <c r="AR139" s="3" t="s">
        <v>4395</v>
      </c>
      <c r="AS139" s="3" t="s">
        <v>969</v>
      </c>
      <c r="AT139" s="3" t="s">
        <v>969</v>
      </c>
      <c r="AU139" s="3" t="s">
        <v>1260</v>
      </c>
      <c r="AV139" s="3" t="s">
        <v>4396</v>
      </c>
      <c r="AW139" s="3" t="s">
        <v>4397</v>
      </c>
      <c r="AX139" s="3" t="s">
        <v>969</v>
      </c>
      <c r="AY139" s="27">
        <v>15.99</v>
      </c>
    </row>
    <row r="140" ht="15.75" customHeight="1">
      <c r="A140" s="24"/>
      <c r="B140" s="24">
        <v>79.0</v>
      </c>
      <c r="C140" s="5" t="s">
        <v>1</v>
      </c>
      <c r="D140" s="3" t="s">
        <v>953</v>
      </c>
      <c r="E140" s="25">
        <v>46201.26666666667</v>
      </c>
      <c r="F140" s="3" t="s">
        <v>4398</v>
      </c>
      <c r="G140" s="3" t="s">
        <v>4398</v>
      </c>
      <c r="H140" s="3" t="s">
        <v>4399</v>
      </c>
      <c r="I140" s="3" t="s">
        <v>4400</v>
      </c>
      <c r="J140" s="3" t="s">
        <v>4401</v>
      </c>
      <c r="K140" s="3" t="s">
        <v>4402</v>
      </c>
      <c r="L140" s="3" t="s">
        <v>4403</v>
      </c>
      <c r="M140" s="26">
        <v>39560.0</v>
      </c>
      <c r="N140" s="3" t="s">
        <v>4404</v>
      </c>
      <c r="O140" s="3" t="s">
        <v>4403</v>
      </c>
      <c r="P140" s="3" t="s">
        <v>4405</v>
      </c>
      <c r="Q140" s="4"/>
      <c r="R140" s="4"/>
      <c r="S140" s="3" t="s">
        <v>4406</v>
      </c>
      <c r="T140" s="3" t="s">
        <v>4407</v>
      </c>
      <c r="U140" s="3" t="s">
        <v>4408</v>
      </c>
      <c r="V140" s="3" t="s">
        <v>4409</v>
      </c>
      <c r="W140" s="3" t="s">
        <v>4410</v>
      </c>
      <c r="X140" s="3" t="s">
        <v>4411</v>
      </c>
      <c r="Y140" s="3" t="s">
        <v>969</v>
      </c>
      <c r="Z140" s="3" t="s">
        <v>3155</v>
      </c>
      <c r="AA140" s="3" t="s">
        <v>969</v>
      </c>
      <c r="AB140" s="3" t="s">
        <v>4412</v>
      </c>
      <c r="AC140" s="3" t="s">
        <v>4413</v>
      </c>
      <c r="AD140" s="3" t="s">
        <v>4414</v>
      </c>
      <c r="AE140" s="3" t="s">
        <v>4415</v>
      </c>
      <c r="AF140" s="3" t="s">
        <v>4416</v>
      </c>
      <c r="AG140" s="3" t="s">
        <v>1541</v>
      </c>
      <c r="AH140" s="3" t="s">
        <v>971</v>
      </c>
      <c r="AI140" s="4"/>
      <c r="AJ140" s="3" t="s">
        <v>971</v>
      </c>
      <c r="AK140" s="4"/>
      <c r="AL140" s="3" t="s">
        <v>4417</v>
      </c>
      <c r="AM140" s="3" t="s">
        <v>4418</v>
      </c>
      <c r="AN140" s="3" t="s">
        <v>4419</v>
      </c>
      <c r="AO140" s="3" t="s">
        <v>4420</v>
      </c>
      <c r="AP140" s="3" t="s">
        <v>4421</v>
      </c>
      <c r="AQ140" s="3" t="s">
        <v>4422</v>
      </c>
      <c r="AR140" s="3" t="s">
        <v>4423</v>
      </c>
      <c r="AS140" s="3" t="s">
        <v>969</v>
      </c>
      <c r="AT140" s="3" t="s">
        <v>969</v>
      </c>
      <c r="AU140" s="3" t="s">
        <v>981</v>
      </c>
      <c r="AV140" s="3" t="s">
        <v>4424</v>
      </c>
      <c r="AW140" s="3" t="s">
        <v>1397</v>
      </c>
      <c r="AX140" s="3" t="s">
        <v>969</v>
      </c>
      <c r="AY140" s="27">
        <v>15.99</v>
      </c>
    </row>
    <row r="141" ht="15.75" customHeight="1">
      <c r="A141" s="24"/>
      <c r="B141" s="24">
        <v>76.0</v>
      </c>
      <c r="C141" s="5" t="s">
        <v>1</v>
      </c>
      <c r="D141" s="3" t="s">
        <v>953</v>
      </c>
      <c r="E141" s="25">
        <v>46200.01458333333</v>
      </c>
      <c r="F141" s="3" t="s">
        <v>4425</v>
      </c>
      <c r="G141" s="3" t="s">
        <v>4426</v>
      </c>
      <c r="H141" s="3" t="s">
        <v>4427</v>
      </c>
      <c r="I141" s="3" t="s">
        <v>4428</v>
      </c>
      <c r="J141" s="3" t="s">
        <v>4429</v>
      </c>
      <c r="K141" s="3" t="s">
        <v>1653</v>
      </c>
      <c r="L141" s="3" t="s">
        <v>4430</v>
      </c>
      <c r="M141" s="26">
        <v>32715.0</v>
      </c>
      <c r="N141" s="3" t="s">
        <v>4431</v>
      </c>
      <c r="O141" s="3" t="s">
        <v>4432</v>
      </c>
      <c r="P141" s="3" t="s">
        <v>4433</v>
      </c>
      <c r="Q141" s="4"/>
      <c r="R141" s="4"/>
      <c r="S141" s="3" t="s">
        <v>4434</v>
      </c>
      <c r="T141" s="3" t="s">
        <v>4435</v>
      </c>
      <c r="U141" s="3" t="s">
        <v>1050</v>
      </c>
      <c r="V141" s="3" t="s">
        <v>4436</v>
      </c>
      <c r="W141" s="3" t="s">
        <v>4437</v>
      </c>
      <c r="X141" s="3" t="s">
        <v>4438</v>
      </c>
      <c r="Y141" s="3" t="s">
        <v>971</v>
      </c>
      <c r="Z141" s="3" t="s">
        <v>1979</v>
      </c>
      <c r="AA141" s="3" t="s">
        <v>971</v>
      </c>
      <c r="AB141" s="4"/>
      <c r="AC141" s="4"/>
      <c r="AD141" s="3" t="s">
        <v>966</v>
      </c>
      <c r="AE141" s="4"/>
      <c r="AF141" s="4"/>
      <c r="AG141" s="4"/>
      <c r="AH141" s="3" t="s">
        <v>969</v>
      </c>
      <c r="AI141" s="3" t="s">
        <v>4439</v>
      </c>
      <c r="AJ141" s="3" t="s">
        <v>966</v>
      </c>
      <c r="AK141" s="4"/>
      <c r="AL141" s="3" t="s">
        <v>4437</v>
      </c>
      <c r="AM141" s="3" t="s">
        <v>4440</v>
      </c>
      <c r="AN141" s="3" t="s">
        <v>4441</v>
      </c>
      <c r="AO141" s="3" t="s">
        <v>4442</v>
      </c>
      <c r="AP141" s="3" t="s">
        <v>4443</v>
      </c>
      <c r="AQ141" s="3" t="s">
        <v>4444</v>
      </c>
      <c r="AR141" s="3" t="s">
        <v>4445</v>
      </c>
      <c r="AS141" s="3" t="s">
        <v>969</v>
      </c>
      <c r="AT141" s="3" t="s">
        <v>969</v>
      </c>
      <c r="AU141" s="3" t="s">
        <v>1233</v>
      </c>
      <c r="AV141" s="3" t="s">
        <v>3036</v>
      </c>
      <c r="AW141" s="3" t="s">
        <v>4446</v>
      </c>
      <c r="AX141" s="3" t="s">
        <v>969</v>
      </c>
      <c r="AY141" s="27">
        <v>15.99</v>
      </c>
    </row>
    <row r="142" ht="15.75" customHeight="1">
      <c r="A142" s="24"/>
      <c r="B142" s="24">
        <v>74.0</v>
      </c>
      <c r="C142" s="5" t="s">
        <v>1</v>
      </c>
      <c r="D142" s="3" t="s">
        <v>953</v>
      </c>
      <c r="E142" s="25">
        <v>46199.75902777778</v>
      </c>
      <c r="F142" s="3" t="s">
        <v>4447</v>
      </c>
      <c r="G142" s="3" t="s">
        <v>4448</v>
      </c>
      <c r="H142" s="3" t="s">
        <v>4449</v>
      </c>
      <c r="I142" s="3" t="s">
        <v>4450</v>
      </c>
      <c r="J142" s="4"/>
      <c r="K142" s="3" t="s">
        <v>4451</v>
      </c>
      <c r="L142" s="3" t="s">
        <v>4452</v>
      </c>
      <c r="M142" s="26">
        <v>33513.0</v>
      </c>
      <c r="N142" s="3" t="s">
        <v>4453</v>
      </c>
      <c r="O142" s="3" t="s">
        <v>4454</v>
      </c>
      <c r="P142" s="4"/>
      <c r="Q142" s="4"/>
      <c r="R142" s="4"/>
      <c r="S142" s="3" t="s">
        <v>4455</v>
      </c>
      <c r="T142" s="3" t="s">
        <v>4456</v>
      </c>
      <c r="U142" s="3" t="s">
        <v>1662</v>
      </c>
      <c r="V142" s="3" t="s">
        <v>4457</v>
      </c>
      <c r="W142" s="3" t="s">
        <v>4458</v>
      </c>
      <c r="X142" s="3" t="s">
        <v>4459</v>
      </c>
      <c r="Y142" s="3" t="s">
        <v>969</v>
      </c>
      <c r="Z142" s="3" t="s">
        <v>4460</v>
      </c>
      <c r="AA142" s="3" t="s">
        <v>969</v>
      </c>
      <c r="AB142" s="3" t="s">
        <v>4461</v>
      </c>
      <c r="AC142" s="3" t="s">
        <v>4462</v>
      </c>
      <c r="AD142" s="3" t="s">
        <v>4463</v>
      </c>
      <c r="AE142" s="4"/>
      <c r="AF142" s="3" t="s">
        <v>2879</v>
      </c>
      <c r="AG142" s="4"/>
      <c r="AH142" s="3" t="s">
        <v>969</v>
      </c>
      <c r="AI142" s="3" t="s">
        <v>4464</v>
      </c>
      <c r="AJ142" s="3" t="s">
        <v>2733</v>
      </c>
      <c r="AK142" s="4"/>
      <c r="AL142" s="3" t="s">
        <v>4465</v>
      </c>
      <c r="AM142" s="3" t="s">
        <v>4466</v>
      </c>
      <c r="AN142" s="3" t="s">
        <v>4467</v>
      </c>
      <c r="AO142" s="3" t="s">
        <v>4468</v>
      </c>
      <c r="AP142" s="3" t="s">
        <v>4469</v>
      </c>
      <c r="AQ142" s="3" t="s">
        <v>4470</v>
      </c>
      <c r="AR142" s="3" t="s">
        <v>4471</v>
      </c>
      <c r="AS142" s="3" t="s">
        <v>969</v>
      </c>
      <c r="AT142" s="3" t="s">
        <v>969</v>
      </c>
      <c r="AU142" s="3" t="s">
        <v>1039</v>
      </c>
      <c r="AV142" s="3" t="s">
        <v>982</v>
      </c>
      <c r="AW142" s="3" t="s">
        <v>4472</v>
      </c>
      <c r="AX142" s="3" t="s">
        <v>969</v>
      </c>
      <c r="AY142" s="27">
        <v>15.99</v>
      </c>
    </row>
    <row r="143" ht="15.75" customHeight="1">
      <c r="A143" s="24"/>
      <c r="B143" s="24">
        <v>68.0</v>
      </c>
      <c r="C143" s="5" t="s">
        <v>1</v>
      </c>
      <c r="D143" s="3" t="s">
        <v>953</v>
      </c>
      <c r="E143" s="25">
        <v>46197.59583333333</v>
      </c>
      <c r="F143" s="3" t="s">
        <v>4473</v>
      </c>
      <c r="G143" s="3" t="s">
        <v>4474</v>
      </c>
      <c r="H143" s="3" t="s">
        <v>4475</v>
      </c>
      <c r="I143" s="3" t="s">
        <v>4476</v>
      </c>
      <c r="J143" s="3" t="s">
        <v>4477</v>
      </c>
      <c r="K143" s="3" t="s">
        <v>2348</v>
      </c>
      <c r="L143" s="3" t="s">
        <v>4478</v>
      </c>
      <c r="M143" s="26">
        <v>35752.0</v>
      </c>
      <c r="N143" s="3" t="s">
        <v>4479</v>
      </c>
      <c r="O143" s="3" t="s">
        <v>4480</v>
      </c>
      <c r="P143" s="4"/>
      <c r="Q143" s="4"/>
      <c r="R143" s="4"/>
      <c r="S143" s="3" t="s">
        <v>4481</v>
      </c>
      <c r="T143" s="3" t="s">
        <v>4482</v>
      </c>
      <c r="U143" s="3" t="s">
        <v>3472</v>
      </c>
      <c r="V143" s="3" t="s">
        <v>1396</v>
      </c>
      <c r="W143" s="3" t="s">
        <v>4483</v>
      </c>
      <c r="X143" s="3" t="s">
        <v>4484</v>
      </c>
      <c r="Y143" s="3" t="s">
        <v>969</v>
      </c>
      <c r="Z143" s="3" t="s">
        <v>2332</v>
      </c>
      <c r="AA143" s="3" t="s">
        <v>971</v>
      </c>
      <c r="AB143" s="4"/>
      <c r="AC143" s="4"/>
      <c r="AD143" s="3" t="s">
        <v>4485</v>
      </c>
      <c r="AE143" s="3" t="s">
        <v>4486</v>
      </c>
      <c r="AF143" s="3" t="s">
        <v>4487</v>
      </c>
      <c r="AG143" s="3" t="s">
        <v>1002</v>
      </c>
      <c r="AH143" s="3" t="s">
        <v>971</v>
      </c>
      <c r="AI143" s="4"/>
      <c r="AJ143" s="3" t="s">
        <v>4488</v>
      </c>
      <c r="AK143" s="3" t="s">
        <v>4489</v>
      </c>
      <c r="AL143" s="3" t="s">
        <v>4490</v>
      </c>
      <c r="AM143" s="3" t="s">
        <v>4491</v>
      </c>
      <c r="AN143" s="3" t="s">
        <v>4492</v>
      </c>
      <c r="AO143" s="3" t="s">
        <v>4493</v>
      </c>
      <c r="AP143" s="3" t="s">
        <v>4494</v>
      </c>
      <c r="AQ143" s="3" t="s">
        <v>4495</v>
      </c>
      <c r="AR143" s="3" t="s">
        <v>4496</v>
      </c>
      <c r="AS143" s="3" t="s">
        <v>969</v>
      </c>
      <c r="AT143" s="3" t="s">
        <v>969</v>
      </c>
      <c r="AU143" s="3" t="s">
        <v>1233</v>
      </c>
      <c r="AV143" s="3" t="s">
        <v>4497</v>
      </c>
      <c r="AW143" s="4"/>
      <c r="AX143" s="3" t="s">
        <v>969</v>
      </c>
      <c r="AY143" s="27">
        <v>15.99</v>
      </c>
    </row>
    <row r="144" ht="15.75" customHeight="1">
      <c r="A144" s="24"/>
      <c r="B144" s="24">
        <v>67.0</v>
      </c>
      <c r="C144" s="5" t="s">
        <v>1</v>
      </c>
      <c r="D144" s="3" t="s">
        <v>953</v>
      </c>
      <c r="E144" s="25">
        <v>46197.37777777778</v>
      </c>
      <c r="F144" s="3" t="s">
        <v>4498</v>
      </c>
      <c r="G144" s="3" t="s">
        <v>4498</v>
      </c>
      <c r="H144" s="3" t="s">
        <v>4499</v>
      </c>
      <c r="I144" s="3" t="s">
        <v>4500</v>
      </c>
      <c r="J144" s="3" t="s">
        <v>4501</v>
      </c>
      <c r="K144" s="3" t="s">
        <v>1026</v>
      </c>
      <c r="L144" s="3" t="s">
        <v>4502</v>
      </c>
      <c r="M144" s="26">
        <v>37685.0</v>
      </c>
      <c r="N144" s="3" t="s">
        <v>4503</v>
      </c>
      <c r="O144" s="3" t="s">
        <v>4504</v>
      </c>
      <c r="P144" s="4"/>
      <c r="Q144" s="3" t="s">
        <v>4505</v>
      </c>
      <c r="R144" s="4"/>
      <c r="S144" s="3" t="s">
        <v>4506</v>
      </c>
      <c r="T144" s="3" t="s">
        <v>4507</v>
      </c>
      <c r="U144" s="3" t="s">
        <v>1271</v>
      </c>
      <c r="V144" s="3" t="s">
        <v>4508</v>
      </c>
      <c r="W144" s="4"/>
      <c r="X144" s="3" t="s">
        <v>4509</v>
      </c>
      <c r="Y144" s="3" t="s">
        <v>971</v>
      </c>
      <c r="Z144" s="3" t="s">
        <v>1026</v>
      </c>
      <c r="AA144" s="3" t="s">
        <v>971</v>
      </c>
      <c r="AB144" s="4"/>
      <c r="AC144" s="4"/>
      <c r="AD144" s="3" t="s">
        <v>4510</v>
      </c>
      <c r="AE144" s="4"/>
      <c r="AF144" s="4"/>
      <c r="AG144" s="4"/>
      <c r="AH144" s="3" t="s">
        <v>971</v>
      </c>
      <c r="AI144" s="4"/>
      <c r="AJ144" s="4"/>
      <c r="AK144" s="4"/>
      <c r="AL144" s="3" t="s">
        <v>4511</v>
      </c>
      <c r="AM144" s="3" t="s">
        <v>4512</v>
      </c>
      <c r="AN144" s="3" t="s">
        <v>4513</v>
      </c>
      <c r="AO144" s="3" t="s">
        <v>4514</v>
      </c>
      <c r="AP144" s="3" t="s">
        <v>4515</v>
      </c>
      <c r="AQ144" s="3" t="s">
        <v>4516</v>
      </c>
      <c r="AR144" s="3" t="s">
        <v>4517</v>
      </c>
      <c r="AS144" s="3" t="s">
        <v>969</v>
      </c>
      <c r="AT144" s="3" t="s">
        <v>969</v>
      </c>
      <c r="AU144" s="3" t="s">
        <v>1039</v>
      </c>
      <c r="AV144" s="3" t="s">
        <v>2049</v>
      </c>
      <c r="AW144" s="4"/>
      <c r="AX144" s="3" t="s">
        <v>969</v>
      </c>
      <c r="AY144" s="27">
        <v>15.99</v>
      </c>
    </row>
    <row r="145" ht="15.75" customHeight="1">
      <c r="A145" s="24"/>
      <c r="B145" s="24">
        <v>64.0</v>
      </c>
      <c r="C145" s="5" t="s">
        <v>1</v>
      </c>
      <c r="D145" s="3" t="s">
        <v>953</v>
      </c>
      <c r="E145" s="25">
        <v>46196.57847222222</v>
      </c>
      <c r="F145" s="3" t="s">
        <v>4518</v>
      </c>
      <c r="G145" s="3" t="s">
        <v>4518</v>
      </c>
      <c r="H145" s="3" t="s">
        <v>4519</v>
      </c>
      <c r="I145" s="3" t="s">
        <v>4520</v>
      </c>
      <c r="J145" s="3" t="s">
        <v>4521</v>
      </c>
      <c r="K145" s="3" t="s">
        <v>1015</v>
      </c>
      <c r="L145" s="3" t="s">
        <v>4522</v>
      </c>
      <c r="M145" s="26">
        <v>38633.0</v>
      </c>
      <c r="N145" s="3" t="s">
        <v>4523</v>
      </c>
      <c r="O145" s="3" t="s">
        <v>4524</v>
      </c>
      <c r="P145" s="3" t="s">
        <v>4525</v>
      </c>
      <c r="Q145" s="3" t="s">
        <v>4526</v>
      </c>
      <c r="R145" s="3" t="s">
        <v>4527</v>
      </c>
      <c r="S145" s="3" t="s">
        <v>4528</v>
      </c>
      <c r="T145" s="3" t="s">
        <v>4529</v>
      </c>
      <c r="U145" s="3" t="s">
        <v>1124</v>
      </c>
      <c r="V145" s="3" t="s">
        <v>4530</v>
      </c>
      <c r="W145" s="3" t="s">
        <v>4531</v>
      </c>
      <c r="X145" s="3" t="s">
        <v>4532</v>
      </c>
      <c r="Y145" s="3" t="s">
        <v>969</v>
      </c>
      <c r="Z145" s="3" t="s">
        <v>1026</v>
      </c>
      <c r="AA145" s="3" t="s">
        <v>971</v>
      </c>
      <c r="AB145" s="3" t="s">
        <v>971</v>
      </c>
      <c r="AC145" s="3" t="s">
        <v>971</v>
      </c>
      <c r="AD145" s="3" t="s">
        <v>4533</v>
      </c>
      <c r="AE145" s="3" t="s">
        <v>4534</v>
      </c>
      <c r="AF145" s="3" t="s">
        <v>4535</v>
      </c>
      <c r="AG145" s="3" t="s">
        <v>1133</v>
      </c>
      <c r="AH145" s="3" t="s">
        <v>971</v>
      </c>
      <c r="AI145" s="3" t="s">
        <v>4536</v>
      </c>
      <c r="AJ145" s="3" t="s">
        <v>971</v>
      </c>
      <c r="AK145" s="4"/>
      <c r="AL145" s="3" t="s">
        <v>4537</v>
      </c>
      <c r="AM145" s="3" t="s">
        <v>4538</v>
      </c>
      <c r="AN145" s="3" t="s">
        <v>4539</v>
      </c>
      <c r="AO145" s="3" t="s">
        <v>4540</v>
      </c>
      <c r="AP145" s="3" t="s">
        <v>4541</v>
      </c>
      <c r="AQ145" s="3" t="s">
        <v>4542</v>
      </c>
      <c r="AR145" s="3" t="s">
        <v>4543</v>
      </c>
      <c r="AS145" s="3" t="s">
        <v>969</v>
      </c>
      <c r="AT145" s="3" t="s">
        <v>969</v>
      </c>
      <c r="AU145" s="3" t="s">
        <v>1233</v>
      </c>
      <c r="AV145" s="3" t="s">
        <v>4544</v>
      </c>
      <c r="AW145" s="3" t="s">
        <v>4545</v>
      </c>
      <c r="AX145" s="3" t="s">
        <v>969</v>
      </c>
      <c r="AY145" s="27">
        <v>15.99</v>
      </c>
    </row>
    <row r="146" ht="15.75" customHeight="1">
      <c r="A146" s="24"/>
      <c r="B146" s="24">
        <v>54.0</v>
      </c>
      <c r="C146" s="5" t="s">
        <v>1</v>
      </c>
      <c r="D146" s="3" t="s">
        <v>953</v>
      </c>
      <c r="E146" s="25">
        <v>46192.79097222222</v>
      </c>
      <c r="F146" s="3" t="s">
        <v>4546</v>
      </c>
      <c r="G146" s="3" t="s">
        <v>4546</v>
      </c>
      <c r="H146" s="3" t="s">
        <v>827</v>
      </c>
      <c r="I146" s="3" t="s">
        <v>827</v>
      </c>
      <c r="J146" s="3" t="s">
        <v>4547</v>
      </c>
      <c r="K146" s="3" t="s">
        <v>189</v>
      </c>
      <c r="L146" s="3" t="s">
        <v>4548</v>
      </c>
      <c r="M146" s="26">
        <v>36538.0</v>
      </c>
      <c r="N146" s="3" t="s">
        <v>4549</v>
      </c>
      <c r="O146" s="3" t="s">
        <v>4548</v>
      </c>
      <c r="P146" s="4"/>
      <c r="Q146" s="4"/>
      <c r="R146" s="4"/>
      <c r="S146" s="3" t="s">
        <v>4550</v>
      </c>
      <c r="T146" s="3" t="s">
        <v>4551</v>
      </c>
      <c r="U146" s="3" t="s">
        <v>1124</v>
      </c>
      <c r="V146" s="3" t="s">
        <v>4552</v>
      </c>
      <c r="W146" s="3" t="s">
        <v>4553</v>
      </c>
      <c r="X146" s="3" t="s">
        <v>4554</v>
      </c>
      <c r="Y146" s="3" t="s">
        <v>971</v>
      </c>
      <c r="Z146" s="3" t="s">
        <v>1128</v>
      </c>
      <c r="AA146" s="3" t="s">
        <v>971</v>
      </c>
      <c r="AB146" s="4"/>
      <c r="AC146" s="3" t="s">
        <v>4555</v>
      </c>
      <c r="AD146" s="3" t="s">
        <v>4556</v>
      </c>
      <c r="AE146" s="3" t="s">
        <v>4557</v>
      </c>
      <c r="AF146" s="3" t="s">
        <v>4558</v>
      </c>
      <c r="AG146" s="3" t="s">
        <v>1030</v>
      </c>
      <c r="AH146" s="3" t="s">
        <v>971</v>
      </c>
      <c r="AI146" s="4"/>
      <c r="AJ146" s="3" t="s">
        <v>971</v>
      </c>
      <c r="AK146" s="4"/>
      <c r="AL146" s="3" t="s">
        <v>4115</v>
      </c>
      <c r="AM146" s="3" t="s">
        <v>4559</v>
      </c>
      <c r="AN146" s="3" t="s">
        <v>4560</v>
      </c>
      <c r="AO146" s="3" t="s">
        <v>4561</v>
      </c>
      <c r="AP146" s="3" t="s">
        <v>4562</v>
      </c>
      <c r="AQ146" s="3" t="s">
        <v>4563</v>
      </c>
      <c r="AR146" s="3" t="s">
        <v>4564</v>
      </c>
      <c r="AS146" s="3" t="s">
        <v>969</v>
      </c>
      <c r="AT146" s="3" t="s">
        <v>969</v>
      </c>
      <c r="AU146" s="3" t="s">
        <v>1039</v>
      </c>
      <c r="AV146" s="3" t="s">
        <v>1287</v>
      </c>
      <c r="AW146" s="4"/>
      <c r="AX146" s="3" t="s">
        <v>969</v>
      </c>
      <c r="AY146" s="27">
        <v>15.99</v>
      </c>
      <c r="BA146" s="5" t="s">
        <v>14</v>
      </c>
    </row>
    <row r="147" ht="15.75" customHeight="1">
      <c r="A147" s="24"/>
      <c r="B147" s="24">
        <v>51.0</v>
      </c>
      <c r="C147" s="5" t="s">
        <v>1</v>
      </c>
      <c r="D147" s="3" t="s">
        <v>953</v>
      </c>
      <c r="E147" s="25">
        <v>46191.97291666667</v>
      </c>
      <c r="F147" s="3" t="s">
        <v>4565</v>
      </c>
      <c r="G147" s="3" t="s">
        <v>4565</v>
      </c>
      <c r="H147" s="3" t="s">
        <v>4566</v>
      </c>
      <c r="I147" s="3" t="s">
        <v>4567</v>
      </c>
      <c r="J147" s="3" t="s">
        <v>4568</v>
      </c>
      <c r="K147" s="3" t="s">
        <v>2919</v>
      </c>
      <c r="L147" s="3" t="s">
        <v>4569</v>
      </c>
      <c r="M147" s="26">
        <v>38598.0</v>
      </c>
      <c r="N147" s="3" t="s">
        <v>4570</v>
      </c>
      <c r="O147" s="3" t="s">
        <v>4571</v>
      </c>
      <c r="P147" s="3" t="s">
        <v>4572</v>
      </c>
      <c r="Q147" s="3" t="s">
        <v>4573</v>
      </c>
      <c r="R147" s="3" t="s">
        <v>4574</v>
      </c>
      <c r="S147" s="3" t="s">
        <v>4575</v>
      </c>
      <c r="T147" s="3" t="s">
        <v>4576</v>
      </c>
      <c r="U147" s="3" t="s">
        <v>1124</v>
      </c>
      <c r="V147" s="3" t="s">
        <v>1397</v>
      </c>
      <c r="W147" s="3" t="s">
        <v>4577</v>
      </c>
      <c r="X147" s="3" t="s">
        <v>4578</v>
      </c>
      <c r="Y147" s="3" t="s">
        <v>969</v>
      </c>
      <c r="Z147" s="3" t="s">
        <v>997</v>
      </c>
      <c r="AA147" s="3" t="s">
        <v>971</v>
      </c>
      <c r="AB147" s="4"/>
      <c r="AC147" s="3" t="s">
        <v>4579</v>
      </c>
      <c r="AD147" s="3" t="s">
        <v>4580</v>
      </c>
      <c r="AE147" s="3" t="s">
        <v>4581</v>
      </c>
      <c r="AF147" s="3" t="s">
        <v>4582</v>
      </c>
      <c r="AG147" s="3" t="s">
        <v>3341</v>
      </c>
      <c r="AH147" s="3" t="s">
        <v>971</v>
      </c>
      <c r="AI147" s="4"/>
      <c r="AJ147" s="4"/>
      <c r="AK147" s="4"/>
      <c r="AL147" s="3" t="s">
        <v>4583</v>
      </c>
      <c r="AM147" s="3" t="s">
        <v>4584</v>
      </c>
      <c r="AN147" s="3" t="s">
        <v>4585</v>
      </c>
      <c r="AO147" s="3" t="s">
        <v>4586</v>
      </c>
      <c r="AP147" s="3" t="s">
        <v>4587</v>
      </c>
      <c r="AQ147" s="3" t="s">
        <v>4588</v>
      </c>
      <c r="AR147" s="3" t="s">
        <v>4589</v>
      </c>
      <c r="AS147" s="3" t="s">
        <v>969</v>
      </c>
      <c r="AT147" s="3" t="s">
        <v>969</v>
      </c>
      <c r="AU147" s="3" t="s">
        <v>1039</v>
      </c>
      <c r="AV147" s="3" t="s">
        <v>1261</v>
      </c>
      <c r="AW147" s="3" t="s">
        <v>3082</v>
      </c>
      <c r="AX147" s="3" t="s">
        <v>969</v>
      </c>
      <c r="AY147" s="27">
        <v>15.99</v>
      </c>
    </row>
    <row r="148" ht="15.75" customHeight="1">
      <c r="A148" s="24"/>
      <c r="B148" s="24">
        <v>48.0</v>
      </c>
      <c r="C148" s="5" t="s">
        <v>1</v>
      </c>
      <c r="D148" s="3" t="s">
        <v>953</v>
      </c>
      <c r="E148" s="25">
        <v>46190.7</v>
      </c>
      <c r="F148" s="3" t="s">
        <v>4590</v>
      </c>
      <c r="G148" s="3" t="s">
        <v>4590</v>
      </c>
      <c r="H148" s="3" t="s">
        <v>4591</v>
      </c>
      <c r="I148" s="3" t="s">
        <v>4591</v>
      </c>
      <c r="J148" s="3" t="s">
        <v>4592</v>
      </c>
      <c r="K148" s="3" t="s">
        <v>1015</v>
      </c>
      <c r="L148" s="3" t="s">
        <v>4593</v>
      </c>
      <c r="M148" s="26">
        <v>34203.0</v>
      </c>
      <c r="N148" s="3" t="s">
        <v>4594</v>
      </c>
      <c r="O148" s="3" t="s">
        <v>4593</v>
      </c>
      <c r="P148" s="3" t="s">
        <v>4595</v>
      </c>
      <c r="Q148" s="4"/>
      <c r="R148" s="4"/>
      <c r="S148" s="3" t="s">
        <v>4596</v>
      </c>
      <c r="T148" s="3" t="s">
        <v>4597</v>
      </c>
      <c r="U148" s="3" t="s">
        <v>4598</v>
      </c>
      <c r="V148" s="3" t="s">
        <v>4599</v>
      </c>
      <c r="W148" s="3" t="s">
        <v>4600</v>
      </c>
      <c r="X148" s="3" t="s">
        <v>4601</v>
      </c>
      <c r="Y148" s="3" t="s">
        <v>969</v>
      </c>
      <c r="Z148" s="3" t="s">
        <v>1026</v>
      </c>
      <c r="AA148" s="3" t="s">
        <v>971</v>
      </c>
      <c r="AB148" s="4"/>
      <c r="AC148" s="4"/>
      <c r="AD148" s="3" t="s">
        <v>2733</v>
      </c>
      <c r="AE148" s="4"/>
      <c r="AF148" s="4"/>
      <c r="AG148" s="4"/>
      <c r="AH148" s="3" t="s">
        <v>971</v>
      </c>
      <c r="AI148" s="4"/>
      <c r="AJ148" s="4"/>
      <c r="AK148" s="4"/>
      <c r="AL148" s="3" t="s">
        <v>4602</v>
      </c>
      <c r="AM148" s="3" t="s">
        <v>4603</v>
      </c>
      <c r="AN148" s="3" t="s">
        <v>4604</v>
      </c>
      <c r="AO148" s="3" t="s">
        <v>4605</v>
      </c>
      <c r="AP148" s="3" t="s">
        <v>4606</v>
      </c>
      <c r="AQ148" s="3" t="s">
        <v>4607</v>
      </c>
      <c r="AR148" s="3" t="s">
        <v>4608</v>
      </c>
      <c r="AS148" s="3" t="s">
        <v>969</v>
      </c>
      <c r="AT148" s="3" t="s">
        <v>969</v>
      </c>
      <c r="AU148" s="3" t="s">
        <v>1260</v>
      </c>
      <c r="AV148" s="3" t="s">
        <v>4609</v>
      </c>
      <c r="AW148" s="3" t="s">
        <v>4610</v>
      </c>
      <c r="AX148" s="3" t="s">
        <v>969</v>
      </c>
      <c r="AY148" s="27">
        <v>15.99</v>
      </c>
    </row>
    <row r="149" ht="15.75" customHeight="1">
      <c r="A149" s="24"/>
      <c r="B149" s="24">
        <v>42.0</v>
      </c>
      <c r="C149" s="5" t="s">
        <v>1</v>
      </c>
      <c r="D149" s="3" t="s">
        <v>953</v>
      </c>
      <c r="E149" s="25">
        <v>46189.62847222222</v>
      </c>
      <c r="F149" s="3" t="s">
        <v>4611</v>
      </c>
      <c r="G149" s="3" t="s">
        <v>4612</v>
      </c>
      <c r="H149" s="3" t="s">
        <v>4613</v>
      </c>
      <c r="I149" s="3" t="s">
        <v>4614</v>
      </c>
      <c r="J149" s="3" t="s">
        <v>4615</v>
      </c>
      <c r="K149" s="3" t="s">
        <v>2919</v>
      </c>
      <c r="L149" s="3" t="s">
        <v>4616</v>
      </c>
      <c r="M149" s="26">
        <v>38869.0</v>
      </c>
      <c r="N149" s="3" t="s">
        <v>4617</v>
      </c>
      <c r="O149" s="3" t="s">
        <v>4618</v>
      </c>
      <c r="P149" s="3" t="s">
        <v>4619</v>
      </c>
      <c r="Q149" s="3" t="s">
        <v>4620</v>
      </c>
      <c r="R149" s="3" t="s">
        <v>4621</v>
      </c>
      <c r="S149" s="3" t="s">
        <v>4622</v>
      </c>
      <c r="T149" s="3" t="s">
        <v>4623</v>
      </c>
      <c r="U149" s="3" t="s">
        <v>1050</v>
      </c>
      <c r="V149" s="3" t="s">
        <v>4624</v>
      </c>
      <c r="W149" s="3" t="s">
        <v>4625</v>
      </c>
      <c r="X149" s="3" t="s">
        <v>4626</v>
      </c>
      <c r="Y149" s="3" t="s">
        <v>969</v>
      </c>
      <c r="Z149" s="3" t="s">
        <v>4627</v>
      </c>
      <c r="AA149" s="3" t="s">
        <v>971</v>
      </c>
      <c r="AB149" s="4"/>
      <c r="AC149" s="3" t="s">
        <v>4628</v>
      </c>
      <c r="AD149" s="3" t="s">
        <v>4629</v>
      </c>
      <c r="AE149" s="4"/>
      <c r="AF149" s="3" t="s">
        <v>1250</v>
      </c>
      <c r="AG149" s="4"/>
      <c r="AH149" s="3" t="s">
        <v>969</v>
      </c>
      <c r="AI149" s="3" t="s">
        <v>4630</v>
      </c>
      <c r="AJ149" s="4"/>
      <c r="AK149" s="4"/>
      <c r="AL149" s="3" t="s">
        <v>4631</v>
      </c>
      <c r="AM149" s="3" t="s">
        <v>4632</v>
      </c>
      <c r="AN149" s="3" t="s">
        <v>4633</v>
      </c>
      <c r="AO149" s="3" t="s">
        <v>4634</v>
      </c>
      <c r="AP149" s="3" t="s">
        <v>4635</v>
      </c>
      <c r="AQ149" s="3" t="s">
        <v>4636</v>
      </c>
      <c r="AR149" s="3" t="s">
        <v>4637</v>
      </c>
      <c r="AS149" s="3" t="s">
        <v>969</v>
      </c>
      <c r="AT149" s="3" t="s">
        <v>969</v>
      </c>
      <c r="AU149" s="3" t="s">
        <v>1233</v>
      </c>
      <c r="AV149" s="3" t="s">
        <v>2939</v>
      </c>
      <c r="AW149" s="3" t="s">
        <v>2122</v>
      </c>
      <c r="AX149" s="3" t="s">
        <v>969</v>
      </c>
      <c r="AY149" s="27">
        <v>15.99</v>
      </c>
    </row>
    <row r="150" ht="15.75" customHeight="1">
      <c r="A150" s="24"/>
      <c r="B150" s="24">
        <v>41.0</v>
      </c>
      <c r="C150" s="5" t="s">
        <v>1</v>
      </c>
      <c r="D150" s="3" t="s">
        <v>953</v>
      </c>
      <c r="E150" s="25">
        <v>46189.35069444445</v>
      </c>
      <c r="F150" s="3" t="s">
        <v>4638</v>
      </c>
      <c r="G150" s="3" t="s">
        <v>4638</v>
      </c>
      <c r="H150" s="3" t="s">
        <v>4639</v>
      </c>
      <c r="I150" s="3" t="s">
        <v>4640</v>
      </c>
      <c r="J150" s="3" t="s">
        <v>4641</v>
      </c>
      <c r="K150" s="3" t="s">
        <v>2919</v>
      </c>
      <c r="L150" s="3" t="s">
        <v>4642</v>
      </c>
      <c r="M150" s="26">
        <v>39430.0</v>
      </c>
      <c r="N150" s="3" t="s">
        <v>4643</v>
      </c>
      <c r="O150" s="3" t="s">
        <v>4644</v>
      </c>
      <c r="P150" s="3" t="s">
        <v>4645</v>
      </c>
      <c r="Q150" s="4"/>
      <c r="R150" s="3" t="s">
        <v>4646</v>
      </c>
      <c r="S150" s="3" t="s">
        <v>4647</v>
      </c>
      <c r="T150" s="3" t="s">
        <v>4648</v>
      </c>
      <c r="U150" s="3" t="s">
        <v>4649</v>
      </c>
      <c r="V150" s="3" t="s">
        <v>4650</v>
      </c>
      <c r="W150" s="3" t="s">
        <v>4651</v>
      </c>
      <c r="X150" s="3" t="s">
        <v>4652</v>
      </c>
      <c r="Y150" s="3" t="s">
        <v>969</v>
      </c>
      <c r="Z150" s="3" t="s">
        <v>4653</v>
      </c>
      <c r="AA150" s="3" t="s">
        <v>971</v>
      </c>
      <c r="AB150" s="4"/>
      <c r="AC150" s="3" t="s">
        <v>4654</v>
      </c>
      <c r="AD150" s="3" t="s">
        <v>4655</v>
      </c>
      <c r="AE150" s="3" t="s">
        <v>4656</v>
      </c>
      <c r="AF150" s="3" t="s">
        <v>4657</v>
      </c>
      <c r="AG150" s="3" t="s">
        <v>1133</v>
      </c>
      <c r="AH150" s="3" t="s">
        <v>971</v>
      </c>
      <c r="AI150" s="4"/>
      <c r="AJ150" s="3" t="s">
        <v>971</v>
      </c>
      <c r="AK150" s="4"/>
      <c r="AL150" s="3" t="s">
        <v>4658</v>
      </c>
      <c r="AM150" s="3" t="s">
        <v>4659</v>
      </c>
      <c r="AN150" s="3" t="s">
        <v>4660</v>
      </c>
      <c r="AO150" s="3" t="s">
        <v>4661</v>
      </c>
      <c r="AP150" s="3" t="s">
        <v>4662</v>
      </c>
      <c r="AQ150" s="3" t="s">
        <v>4663</v>
      </c>
      <c r="AR150" s="3" t="s">
        <v>4664</v>
      </c>
      <c r="AS150" s="3" t="s">
        <v>969</v>
      </c>
      <c r="AT150" s="3" t="s">
        <v>969</v>
      </c>
      <c r="AU150" s="3" t="s">
        <v>1260</v>
      </c>
      <c r="AV150" s="3" t="s">
        <v>2217</v>
      </c>
      <c r="AW150" s="3" t="s">
        <v>4665</v>
      </c>
      <c r="AX150" s="3" t="s">
        <v>969</v>
      </c>
      <c r="AY150" s="27">
        <v>15.99</v>
      </c>
    </row>
    <row r="151" ht="15.75" customHeight="1">
      <c r="A151" s="24"/>
      <c r="B151" s="24">
        <v>38.0</v>
      </c>
      <c r="C151" s="5" t="s">
        <v>1</v>
      </c>
      <c r="D151" s="3" t="s">
        <v>953</v>
      </c>
      <c r="E151" s="25">
        <v>46188.46666666667</v>
      </c>
      <c r="F151" s="3" t="s">
        <v>4666</v>
      </c>
      <c r="G151" s="3" t="s">
        <v>4666</v>
      </c>
      <c r="H151" s="3" t="s">
        <v>4667</v>
      </c>
      <c r="I151" s="3" t="s">
        <v>4667</v>
      </c>
      <c r="J151" s="3" t="s">
        <v>4668</v>
      </c>
      <c r="K151" s="3" t="s">
        <v>3985</v>
      </c>
      <c r="L151" s="3" t="s">
        <v>4669</v>
      </c>
      <c r="M151" s="26">
        <v>38661.0</v>
      </c>
      <c r="N151" s="3" t="s">
        <v>4670</v>
      </c>
      <c r="O151" s="3" t="s">
        <v>4671</v>
      </c>
      <c r="P151" s="3" t="s">
        <v>1447</v>
      </c>
      <c r="Q151" s="3" t="s">
        <v>4672</v>
      </c>
      <c r="R151" s="3" t="s">
        <v>1447</v>
      </c>
      <c r="S151" s="3" t="s">
        <v>4673</v>
      </c>
      <c r="T151" s="3" t="s">
        <v>4674</v>
      </c>
      <c r="U151" s="3" t="s">
        <v>2381</v>
      </c>
      <c r="V151" s="3" t="s">
        <v>1746</v>
      </c>
      <c r="W151" s="3" t="s">
        <v>4675</v>
      </c>
      <c r="X151" s="3" t="s">
        <v>4676</v>
      </c>
      <c r="Y151" s="3" t="s">
        <v>969</v>
      </c>
      <c r="Z151" s="3" t="s">
        <v>2188</v>
      </c>
      <c r="AA151" s="3" t="s">
        <v>971</v>
      </c>
      <c r="AB151" s="4"/>
      <c r="AC151" s="3" t="s">
        <v>6</v>
      </c>
      <c r="AD151" s="3" t="s">
        <v>4677</v>
      </c>
      <c r="AE151" s="3" t="s">
        <v>4678</v>
      </c>
      <c r="AF151" s="3" t="s">
        <v>4679</v>
      </c>
      <c r="AG151" s="3" t="s">
        <v>1002</v>
      </c>
      <c r="AH151" s="3" t="s">
        <v>971</v>
      </c>
      <c r="AI151" s="4"/>
      <c r="AJ151" s="4"/>
      <c r="AK151" s="4"/>
      <c r="AL151" s="3" t="s">
        <v>4680</v>
      </c>
      <c r="AM151" s="3" t="s">
        <v>4681</v>
      </c>
      <c r="AN151" s="3" t="s">
        <v>4682</v>
      </c>
      <c r="AO151" s="3" t="s">
        <v>4683</v>
      </c>
      <c r="AP151" s="3" t="s">
        <v>4684</v>
      </c>
      <c r="AQ151" s="3" t="s">
        <v>4685</v>
      </c>
      <c r="AR151" s="3" t="s">
        <v>4686</v>
      </c>
      <c r="AS151" s="3" t="s">
        <v>969</v>
      </c>
      <c r="AT151" s="3" t="s">
        <v>969</v>
      </c>
      <c r="AU151" s="3" t="s">
        <v>1233</v>
      </c>
      <c r="AV151" s="3" t="s">
        <v>3152</v>
      </c>
      <c r="AW151" s="3" t="s">
        <v>4687</v>
      </c>
      <c r="AX151" s="3" t="s">
        <v>969</v>
      </c>
      <c r="AY151" s="27">
        <v>15.99</v>
      </c>
    </row>
    <row r="152" ht="15.75" customHeight="1">
      <c r="A152" s="24"/>
      <c r="B152" s="24">
        <v>37.0</v>
      </c>
      <c r="C152" s="5" t="s">
        <v>1</v>
      </c>
      <c r="D152" s="3" t="s">
        <v>953</v>
      </c>
      <c r="E152" s="25">
        <v>46187.76041666666</v>
      </c>
      <c r="F152" s="3" t="s">
        <v>4688</v>
      </c>
      <c r="G152" s="3" t="s">
        <v>4689</v>
      </c>
      <c r="H152" s="3" t="s">
        <v>4690</v>
      </c>
      <c r="I152" s="3" t="s">
        <v>4691</v>
      </c>
      <c r="J152" s="3" t="s">
        <v>4692</v>
      </c>
      <c r="K152" s="3" t="s">
        <v>1916</v>
      </c>
      <c r="L152" s="3" t="s">
        <v>4693</v>
      </c>
      <c r="M152" s="26">
        <v>37129.0</v>
      </c>
      <c r="N152" s="3" t="s">
        <v>4694</v>
      </c>
      <c r="O152" s="3" t="s">
        <v>4695</v>
      </c>
      <c r="P152" s="4"/>
      <c r="Q152" s="4"/>
      <c r="R152" s="4"/>
      <c r="S152" s="3" t="s">
        <v>4696</v>
      </c>
      <c r="T152" s="3" t="s">
        <v>4697</v>
      </c>
      <c r="U152" s="3" t="s">
        <v>1370</v>
      </c>
      <c r="V152" s="3" t="s">
        <v>1370</v>
      </c>
      <c r="W152" s="3" t="s">
        <v>4698</v>
      </c>
      <c r="X152" s="3" t="s">
        <v>4699</v>
      </c>
      <c r="Y152" s="3" t="s">
        <v>969</v>
      </c>
      <c r="Z152" s="3" t="s">
        <v>3050</v>
      </c>
      <c r="AA152" s="3" t="s">
        <v>971</v>
      </c>
      <c r="AB152" s="4"/>
      <c r="AC152" s="3" t="s">
        <v>969</v>
      </c>
      <c r="AD152" s="3" t="s">
        <v>971</v>
      </c>
      <c r="AE152" s="4"/>
      <c r="AF152" s="4"/>
      <c r="AG152" s="4"/>
      <c r="AH152" s="3" t="s">
        <v>971</v>
      </c>
      <c r="AI152" s="4"/>
      <c r="AJ152" s="4"/>
      <c r="AK152" s="4"/>
      <c r="AL152" s="4"/>
      <c r="AM152" s="3" t="s">
        <v>4700</v>
      </c>
      <c r="AN152" s="3" t="s">
        <v>4701</v>
      </c>
      <c r="AO152" s="3" t="s">
        <v>1537</v>
      </c>
      <c r="AP152" s="3" t="s">
        <v>4702</v>
      </c>
      <c r="AQ152" s="3" t="s">
        <v>4703</v>
      </c>
      <c r="AR152" s="3" t="s">
        <v>4704</v>
      </c>
      <c r="AS152" s="3" t="s">
        <v>969</v>
      </c>
      <c r="AT152" s="3" t="s">
        <v>969</v>
      </c>
      <c r="AU152" s="3" t="s">
        <v>1260</v>
      </c>
      <c r="AV152" s="3" t="s">
        <v>4705</v>
      </c>
      <c r="AW152" s="4"/>
      <c r="AX152" s="3" t="s">
        <v>969</v>
      </c>
      <c r="AY152" s="27">
        <v>15.99</v>
      </c>
    </row>
    <row r="153" ht="15.75" customHeight="1">
      <c r="A153" s="24"/>
      <c r="B153" s="24">
        <v>36.0</v>
      </c>
      <c r="C153" s="5" t="s">
        <v>1</v>
      </c>
      <c r="D153" s="3" t="s">
        <v>953</v>
      </c>
      <c r="E153" s="25">
        <v>46187.56666666667</v>
      </c>
      <c r="F153" s="3" t="s">
        <v>4706</v>
      </c>
      <c r="G153" s="3" t="s">
        <v>4707</v>
      </c>
      <c r="H153" s="3" t="s">
        <v>4708</v>
      </c>
      <c r="I153" s="3" t="s">
        <v>4708</v>
      </c>
      <c r="J153" s="3" t="s">
        <v>4709</v>
      </c>
      <c r="K153" s="3" t="s">
        <v>4710</v>
      </c>
      <c r="L153" s="3" t="s">
        <v>4711</v>
      </c>
      <c r="M153" s="26">
        <v>35262.0</v>
      </c>
      <c r="N153" s="3" t="s">
        <v>4712</v>
      </c>
      <c r="O153" s="3" t="s">
        <v>4708</v>
      </c>
      <c r="P153" s="4"/>
      <c r="Q153" s="4"/>
      <c r="R153" s="4"/>
      <c r="S153" s="3" t="s">
        <v>4713</v>
      </c>
      <c r="T153" s="3" t="s">
        <v>4714</v>
      </c>
      <c r="U153" s="3" t="s">
        <v>4715</v>
      </c>
      <c r="V153" s="3" t="s">
        <v>4716</v>
      </c>
      <c r="W153" s="3" t="s">
        <v>4717</v>
      </c>
      <c r="X153" s="3" t="s">
        <v>4718</v>
      </c>
      <c r="Y153" s="3" t="s">
        <v>969</v>
      </c>
      <c r="Z153" s="3" t="s">
        <v>4719</v>
      </c>
      <c r="AA153" s="3" t="s">
        <v>971</v>
      </c>
      <c r="AB153" s="4"/>
      <c r="AC153" s="3" t="s">
        <v>6</v>
      </c>
      <c r="AD153" s="3" t="s">
        <v>4720</v>
      </c>
      <c r="AE153" s="3" t="s">
        <v>4721</v>
      </c>
      <c r="AF153" s="3" t="s">
        <v>4722</v>
      </c>
      <c r="AG153" s="3" t="s">
        <v>1002</v>
      </c>
      <c r="AH153" s="3" t="s">
        <v>969</v>
      </c>
      <c r="AI153" s="3" t="s">
        <v>4723</v>
      </c>
      <c r="AJ153" s="3" t="s">
        <v>966</v>
      </c>
      <c r="AK153" s="4"/>
      <c r="AL153" s="3" t="s">
        <v>4724</v>
      </c>
      <c r="AM153" s="3" t="s">
        <v>4725</v>
      </c>
      <c r="AN153" s="3" t="s">
        <v>4726</v>
      </c>
      <c r="AO153" s="3" t="s">
        <v>4727</v>
      </c>
      <c r="AP153" s="3" t="s">
        <v>4728</v>
      </c>
      <c r="AQ153" s="3" t="s">
        <v>4729</v>
      </c>
      <c r="AR153" s="3" t="s">
        <v>4730</v>
      </c>
      <c r="AS153" s="3" t="s">
        <v>969</v>
      </c>
      <c r="AT153" s="3" t="s">
        <v>969</v>
      </c>
      <c r="AU153" s="3" t="s">
        <v>1409</v>
      </c>
      <c r="AV153" s="3" t="s">
        <v>4731</v>
      </c>
      <c r="AW153" s="3" t="s">
        <v>1409</v>
      </c>
      <c r="AX153" s="3" t="s">
        <v>969</v>
      </c>
      <c r="AY153" s="27">
        <v>15.99</v>
      </c>
    </row>
    <row r="154" ht="15.75" customHeight="1">
      <c r="A154" s="24"/>
      <c r="B154" s="24">
        <v>35.0</v>
      </c>
      <c r="C154" s="5" t="s">
        <v>1</v>
      </c>
      <c r="D154" s="3" t="s">
        <v>953</v>
      </c>
      <c r="E154" s="25">
        <v>46187.08611111111</v>
      </c>
      <c r="F154" s="3" t="s">
        <v>4732</v>
      </c>
      <c r="G154" s="3" t="s">
        <v>4732</v>
      </c>
      <c r="H154" s="3" t="s">
        <v>4733</v>
      </c>
      <c r="I154" s="3" t="s">
        <v>4734</v>
      </c>
      <c r="J154" s="3" t="s">
        <v>4735</v>
      </c>
      <c r="K154" s="3" t="s">
        <v>2919</v>
      </c>
      <c r="L154" s="3" t="s">
        <v>4736</v>
      </c>
      <c r="M154" s="26">
        <v>38993.0</v>
      </c>
      <c r="N154" s="3" t="s">
        <v>4737</v>
      </c>
      <c r="O154" s="3" t="s">
        <v>4738</v>
      </c>
      <c r="P154" s="4"/>
      <c r="Q154" s="4"/>
      <c r="R154" s="4"/>
      <c r="S154" s="3" t="s">
        <v>4739</v>
      </c>
      <c r="T154" s="3" t="s">
        <v>4740</v>
      </c>
      <c r="U154" s="3" t="s">
        <v>1050</v>
      </c>
      <c r="V154" s="3" t="s">
        <v>4741</v>
      </c>
      <c r="W154" s="3" t="s">
        <v>4742</v>
      </c>
      <c r="X154" s="3" t="s">
        <v>4743</v>
      </c>
      <c r="Y154" s="3" t="s">
        <v>969</v>
      </c>
      <c r="Z154" s="3" t="s">
        <v>4744</v>
      </c>
      <c r="AA154" s="3" t="s">
        <v>971</v>
      </c>
      <c r="AB154" s="4"/>
      <c r="AC154" s="3" t="s">
        <v>2308</v>
      </c>
      <c r="AD154" s="3" t="s">
        <v>971</v>
      </c>
      <c r="AE154" s="4"/>
      <c r="AF154" s="4"/>
      <c r="AG154" s="4"/>
      <c r="AH154" s="3" t="s">
        <v>971</v>
      </c>
      <c r="AI154" s="4"/>
      <c r="AJ154" s="4"/>
      <c r="AK154" s="4"/>
      <c r="AL154" s="4"/>
      <c r="AM154" s="3" t="s">
        <v>4745</v>
      </c>
      <c r="AN154" s="3" t="s">
        <v>4746</v>
      </c>
      <c r="AO154" s="3" t="s">
        <v>4747</v>
      </c>
      <c r="AP154" s="3" t="s">
        <v>4748</v>
      </c>
      <c r="AQ154" s="3" t="s">
        <v>4749</v>
      </c>
      <c r="AR154" s="3" t="s">
        <v>4750</v>
      </c>
      <c r="AS154" s="3" t="s">
        <v>969</v>
      </c>
      <c r="AT154" s="3" t="s">
        <v>969</v>
      </c>
      <c r="AU154" s="3" t="s">
        <v>1039</v>
      </c>
      <c r="AV154" s="3" t="s">
        <v>4751</v>
      </c>
      <c r="AW154" s="4"/>
      <c r="AX154" s="3" t="s">
        <v>969</v>
      </c>
      <c r="AY154" s="27">
        <v>15.99</v>
      </c>
    </row>
    <row r="155" ht="15.75" customHeight="1">
      <c r="A155" s="24"/>
      <c r="B155" s="24">
        <v>29.0</v>
      </c>
      <c r="C155" s="5" t="s">
        <v>1</v>
      </c>
      <c r="D155" s="3" t="s">
        <v>953</v>
      </c>
      <c r="E155" s="25">
        <v>46186.31388888889</v>
      </c>
      <c r="F155" s="3" t="s">
        <v>4752</v>
      </c>
      <c r="G155" s="3" t="s">
        <v>4753</v>
      </c>
      <c r="H155" s="3" t="s">
        <v>4754</v>
      </c>
      <c r="I155" s="3" t="s">
        <v>4755</v>
      </c>
      <c r="J155" s="3" t="s">
        <v>4756</v>
      </c>
      <c r="K155" s="3" t="s">
        <v>4757</v>
      </c>
      <c r="L155" s="3" t="s">
        <v>4758</v>
      </c>
      <c r="M155" s="26">
        <v>32845.0</v>
      </c>
      <c r="N155" s="3" t="s">
        <v>4759</v>
      </c>
      <c r="O155" s="3" t="s">
        <v>4760</v>
      </c>
      <c r="P155" s="3" t="s">
        <v>4761</v>
      </c>
      <c r="Q155" s="3" t="s">
        <v>4762</v>
      </c>
      <c r="R155" s="3" t="s">
        <v>4763</v>
      </c>
      <c r="S155" s="3" t="s">
        <v>4764</v>
      </c>
      <c r="T155" s="3" t="s">
        <v>4765</v>
      </c>
      <c r="U155" s="3" t="s">
        <v>1124</v>
      </c>
      <c r="V155" s="3" t="s">
        <v>1124</v>
      </c>
      <c r="W155" s="3" t="s">
        <v>4766</v>
      </c>
      <c r="X155" s="3" t="s">
        <v>4767</v>
      </c>
      <c r="Y155" s="3" t="s">
        <v>971</v>
      </c>
      <c r="Z155" s="3" t="s">
        <v>4768</v>
      </c>
      <c r="AA155" s="3" t="s">
        <v>969</v>
      </c>
      <c r="AB155" s="3" t="s">
        <v>4769</v>
      </c>
      <c r="AC155" s="3" t="s">
        <v>969</v>
      </c>
      <c r="AD155" s="3" t="s">
        <v>4770</v>
      </c>
      <c r="AE155" s="4"/>
      <c r="AF155" s="3" t="s">
        <v>4771</v>
      </c>
      <c r="AG155" s="3" t="s">
        <v>1517</v>
      </c>
      <c r="AH155" s="3" t="s">
        <v>969</v>
      </c>
      <c r="AI155" s="3" t="s">
        <v>4772</v>
      </c>
      <c r="AJ155" s="3" t="s">
        <v>971</v>
      </c>
      <c r="AK155" s="4"/>
      <c r="AL155" s="3" t="s">
        <v>3384</v>
      </c>
      <c r="AM155" s="3" t="s">
        <v>4773</v>
      </c>
      <c r="AN155" s="3" t="s">
        <v>4774</v>
      </c>
      <c r="AO155" s="3" t="s">
        <v>4775</v>
      </c>
      <c r="AP155" s="3" t="s">
        <v>4776</v>
      </c>
      <c r="AQ155" s="3" t="s">
        <v>4777</v>
      </c>
      <c r="AR155" s="3" t="s">
        <v>4778</v>
      </c>
      <c r="AS155" s="3" t="s">
        <v>969</v>
      </c>
      <c r="AT155" s="3" t="s">
        <v>971</v>
      </c>
      <c r="AU155" s="3" t="s">
        <v>1260</v>
      </c>
      <c r="AV155" s="3" t="s">
        <v>2174</v>
      </c>
      <c r="AW155" s="3" t="s">
        <v>4779</v>
      </c>
      <c r="AX155" s="3" t="s">
        <v>969</v>
      </c>
      <c r="AY155" s="27">
        <v>15.99</v>
      </c>
    </row>
    <row r="156" ht="15.75" customHeight="1">
      <c r="A156" s="24"/>
      <c r="B156" s="24">
        <v>28.0</v>
      </c>
      <c r="C156" s="5" t="s">
        <v>1</v>
      </c>
      <c r="D156" s="3" t="s">
        <v>953</v>
      </c>
      <c r="E156" s="25">
        <v>46185.62222222222</v>
      </c>
      <c r="F156" s="3" t="s">
        <v>4780</v>
      </c>
      <c r="G156" s="3" t="s">
        <v>4781</v>
      </c>
      <c r="H156" s="3" t="s">
        <v>4782</v>
      </c>
      <c r="I156" s="3" t="s">
        <v>4783</v>
      </c>
      <c r="J156" s="4"/>
      <c r="K156" s="3" t="s">
        <v>2251</v>
      </c>
      <c r="L156" s="3" t="s">
        <v>4784</v>
      </c>
      <c r="M156" s="26">
        <v>37432.0</v>
      </c>
      <c r="N156" s="3" t="s">
        <v>4785</v>
      </c>
      <c r="O156" s="3" t="s">
        <v>4786</v>
      </c>
      <c r="P156" s="4"/>
      <c r="Q156" s="4"/>
      <c r="R156" s="4"/>
      <c r="S156" s="3" t="s">
        <v>4787</v>
      </c>
      <c r="T156" s="3" t="s">
        <v>4788</v>
      </c>
      <c r="U156" s="3" t="s">
        <v>4789</v>
      </c>
      <c r="V156" s="3" t="s">
        <v>4790</v>
      </c>
      <c r="W156" s="3" t="s">
        <v>4791</v>
      </c>
      <c r="X156" s="3" t="s">
        <v>4792</v>
      </c>
      <c r="Y156" s="3" t="s">
        <v>969</v>
      </c>
      <c r="Z156" s="3" t="s">
        <v>2251</v>
      </c>
      <c r="AA156" s="3" t="s">
        <v>969</v>
      </c>
      <c r="AB156" s="3" t="s">
        <v>4793</v>
      </c>
      <c r="AC156" s="3" t="s">
        <v>4794</v>
      </c>
      <c r="AD156" s="3" t="s">
        <v>4795</v>
      </c>
      <c r="AE156" s="3" t="s">
        <v>4796</v>
      </c>
      <c r="AF156" s="3" t="s">
        <v>4797</v>
      </c>
      <c r="AG156" s="3" t="s">
        <v>1133</v>
      </c>
      <c r="AH156" s="3" t="s">
        <v>971</v>
      </c>
      <c r="AI156" s="4"/>
      <c r="AJ156" s="4"/>
      <c r="AK156" s="4"/>
      <c r="AL156" s="3" t="s">
        <v>4798</v>
      </c>
      <c r="AM156" s="3" t="s">
        <v>4799</v>
      </c>
      <c r="AN156" s="3" t="s">
        <v>4800</v>
      </c>
      <c r="AO156" s="3" t="s">
        <v>4801</v>
      </c>
      <c r="AP156" s="3" t="s">
        <v>4802</v>
      </c>
      <c r="AQ156" s="3" t="s">
        <v>4803</v>
      </c>
      <c r="AR156" s="3" t="s">
        <v>4804</v>
      </c>
      <c r="AS156" s="3" t="s">
        <v>969</v>
      </c>
      <c r="AT156" s="3" t="s">
        <v>969</v>
      </c>
      <c r="AU156" s="3" t="s">
        <v>1039</v>
      </c>
      <c r="AV156" s="3" t="s">
        <v>1261</v>
      </c>
      <c r="AW156" s="4"/>
      <c r="AX156" s="3" t="s">
        <v>969</v>
      </c>
      <c r="AY156" s="27">
        <v>15.99</v>
      </c>
    </row>
    <row r="157" ht="15.75" customHeight="1">
      <c r="A157" s="24"/>
      <c r="B157" s="24">
        <v>26.0</v>
      </c>
      <c r="C157" s="5" t="s">
        <v>1</v>
      </c>
      <c r="D157" s="3" t="s">
        <v>953</v>
      </c>
      <c r="E157" s="25">
        <v>46184.77986111111</v>
      </c>
      <c r="F157" s="3" t="s">
        <v>4805</v>
      </c>
      <c r="G157" s="3" t="s">
        <v>4805</v>
      </c>
      <c r="H157" s="3" t="s">
        <v>4806</v>
      </c>
      <c r="I157" s="3" t="s">
        <v>4807</v>
      </c>
      <c r="J157" s="3" t="s">
        <v>4808</v>
      </c>
      <c r="K157" s="3" t="s">
        <v>4809</v>
      </c>
      <c r="L157" s="3" t="s">
        <v>4810</v>
      </c>
      <c r="M157" s="26">
        <v>34315.0</v>
      </c>
      <c r="N157" s="3" t="s">
        <v>4811</v>
      </c>
      <c r="O157" s="3" t="s">
        <v>4812</v>
      </c>
      <c r="P157" s="3" t="s">
        <v>4813</v>
      </c>
      <c r="Q157" s="4"/>
      <c r="R157" s="4"/>
      <c r="S157" s="3" t="s">
        <v>4814</v>
      </c>
      <c r="T157" s="3" t="s">
        <v>4815</v>
      </c>
      <c r="U157" s="3" t="s">
        <v>1124</v>
      </c>
      <c r="V157" s="3" t="s">
        <v>4816</v>
      </c>
      <c r="W157" s="3" t="s">
        <v>4817</v>
      </c>
      <c r="X157" s="3" t="s">
        <v>3023</v>
      </c>
      <c r="Y157" s="3" t="s">
        <v>971</v>
      </c>
      <c r="Z157" s="3" t="s">
        <v>4818</v>
      </c>
      <c r="AA157" s="3" t="s">
        <v>971</v>
      </c>
      <c r="AB157" s="4"/>
      <c r="AC157" s="3" t="s">
        <v>969</v>
      </c>
      <c r="AD157" s="3" t="s">
        <v>4819</v>
      </c>
      <c r="AE157" s="3" t="s">
        <v>4820</v>
      </c>
      <c r="AF157" s="3" t="s">
        <v>1250</v>
      </c>
      <c r="AG157" s="3" t="s">
        <v>1517</v>
      </c>
      <c r="AH157" s="3" t="s">
        <v>969</v>
      </c>
      <c r="AI157" s="3" t="s">
        <v>4821</v>
      </c>
      <c r="AJ157" s="3" t="s">
        <v>971</v>
      </c>
      <c r="AK157" s="4"/>
      <c r="AL157" s="3" t="s">
        <v>4822</v>
      </c>
      <c r="AM157" s="3" t="s">
        <v>4823</v>
      </c>
      <c r="AN157" s="3" t="s">
        <v>4824</v>
      </c>
      <c r="AO157" s="3" t="s">
        <v>4825</v>
      </c>
      <c r="AP157" s="3" t="s">
        <v>4826</v>
      </c>
      <c r="AQ157" s="3" t="s">
        <v>4827</v>
      </c>
      <c r="AR157" s="3" t="s">
        <v>4828</v>
      </c>
      <c r="AS157" s="3" t="s">
        <v>969</v>
      </c>
      <c r="AT157" s="3" t="s">
        <v>969</v>
      </c>
      <c r="AU157" s="3" t="s">
        <v>1409</v>
      </c>
      <c r="AV157" s="3" t="s">
        <v>908</v>
      </c>
      <c r="AW157" s="3" t="s">
        <v>1409</v>
      </c>
      <c r="AX157" s="3" t="s">
        <v>969</v>
      </c>
      <c r="AY157" s="27">
        <v>15.99</v>
      </c>
    </row>
    <row r="158" ht="15.75" customHeight="1">
      <c r="A158" s="24"/>
      <c r="B158" s="24">
        <v>16.0</v>
      </c>
      <c r="C158" s="5" t="s">
        <v>1</v>
      </c>
      <c r="D158" s="3" t="s">
        <v>953</v>
      </c>
      <c r="E158" s="25">
        <v>46174.50972222222</v>
      </c>
      <c r="F158" s="3" t="s">
        <v>4829</v>
      </c>
      <c r="G158" s="3" t="s">
        <v>4829</v>
      </c>
      <c r="H158" s="3" t="s">
        <v>4830</v>
      </c>
      <c r="I158" s="3" t="s">
        <v>4831</v>
      </c>
      <c r="J158" s="4"/>
      <c r="K158" s="3" t="s">
        <v>4832</v>
      </c>
      <c r="L158" s="3" t="s">
        <v>4833</v>
      </c>
      <c r="M158" s="26">
        <v>30483.0</v>
      </c>
      <c r="N158" s="3" t="s">
        <v>4834</v>
      </c>
      <c r="O158" s="3" t="s">
        <v>4835</v>
      </c>
      <c r="P158" s="4"/>
      <c r="Q158" s="4"/>
      <c r="R158" s="4"/>
      <c r="S158" s="3" t="s">
        <v>4836</v>
      </c>
      <c r="T158" s="3" t="s">
        <v>4837</v>
      </c>
      <c r="U158" s="3" t="s">
        <v>3233</v>
      </c>
      <c r="V158" s="3" t="s">
        <v>1799</v>
      </c>
      <c r="W158" s="4"/>
      <c r="X158" s="3" t="s">
        <v>4838</v>
      </c>
      <c r="Y158" s="3" t="s">
        <v>971</v>
      </c>
      <c r="Z158" s="3" t="s">
        <v>1537</v>
      </c>
      <c r="AA158" s="3" t="s">
        <v>971</v>
      </c>
      <c r="AB158" s="4"/>
      <c r="AC158" s="3" t="s">
        <v>6</v>
      </c>
      <c r="AD158" s="3" t="s">
        <v>4839</v>
      </c>
      <c r="AE158" s="4"/>
      <c r="AF158" s="3" t="s">
        <v>4840</v>
      </c>
      <c r="AG158" s="3" t="s">
        <v>4841</v>
      </c>
      <c r="AH158" s="3" t="s">
        <v>969</v>
      </c>
      <c r="AI158" s="3" t="s">
        <v>4842</v>
      </c>
      <c r="AJ158" s="3" t="s">
        <v>969</v>
      </c>
      <c r="AK158" s="3" t="s">
        <v>4843</v>
      </c>
      <c r="AL158" s="3" t="s">
        <v>4844</v>
      </c>
      <c r="AM158" s="3" t="s">
        <v>4845</v>
      </c>
      <c r="AN158" s="3" t="s">
        <v>4846</v>
      </c>
      <c r="AO158" s="3" t="s">
        <v>4847</v>
      </c>
      <c r="AP158" s="3" t="s">
        <v>4848</v>
      </c>
      <c r="AQ158" s="3" t="s">
        <v>4849</v>
      </c>
      <c r="AR158" s="3" t="s">
        <v>4850</v>
      </c>
      <c r="AS158" s="3" t="s">
        <v>971</v>
      </c>
      <c r="AT158" s="3" t="s">
        <v>971</v>
      </c>
      <c r="AU158" s="3" t="s">
        <v>1039</v>
      </c>
      <c r="AV158" s="3" t="s">
        <v>4851</v>
      </c>
      <c r="AW158" s="3" t="s">
        <v>4852</v>
      </c>
      <c r="AX158" s="3" t="s">
        <v>969</v>
      </c>
      <c r="AY158" s="27">
        <v>15.99</v>
      </c>
    </row>
    <row r="159" ht="15.75" customHeight="1">
      <c r="A159" s="24"/>
      <c r="B159" s="24">
        <v>14.0</v>
      </c>
      <c r="C159" s="5" t="s">
        <v>1</v>
      </c>
      <c r="D159" s="3" t="s">
        <v>953</v>
      </c>
      <c r="E159" s="25">
        <v>46173.01388888889</v>
      </c>
      <c r="F159" s="3" t="s">
        <v>4853</v>
      </c>
      <c r="G159" s="3" t="s">
        <v>4853</v>
      </c>
      <c r="H159" s="3" t="s">
        <v>4854</v>
      </c>
      <c r="I159" s="3" t="s">
        <v>4855</v>
      </c>
      <c r="J159" s="3" t="s">
        <v>4856</v>
      </c>
      <c r="K159" s="3" t="s">
        <v>189</v>
      </c>
      <c r="L159" s="3" t="s">
        <v>4857</v>
      </c>
      <c r="M159" s="26">
        <v>36728.0</v>
      </c>
      <c r="N159" s="3" t="s">
        <v>4858</v>
      </c>
      <c r="O159" s="3" t="s">
        <v>4859</v>
      </c>
      <c r="P159" s="3" t="s">
        <v>4860</v>
      </c>
      <c r="Q159" s="3" t="s">
        <v>4861</v>
      </c>
      <c r="R159" s="3" t="s">
        <v>4862</v>
      </c>
      <c r="S159" s="3" t="s">
        <v>4863</v>
      </c>
      <c r="T159" s="3" t="s">
        <v>4864</v>
      </c>
      <c r="U159" s="3" t="s">
        <v>4865</v>
      </c>
      <c r="V159" s="3" t="s">
        <v>4866</v>
      </c>
      <c r="W159" s="3" t="s">
        <v>4867</v>
      </c>
      <c r="X159" s="3" t="s">
        <v>2305</v>
      </c>
      <c r="Y159" s="3" t="s">
        <v>971</v>
      </c>
      <c r="Z159" s="3" t="s">
        <v>1128</v>
      </c>
      <c r="AA159" s="3" t="s">
        <v>971</v>
      </c>
      <c r="AB159" s="4"/>
      <c r="AC159" s="3" t="s">
        <v>969</v>
      </c>
      <c r="AD159" s="3" t="s">
        <v>4868</v>
      </c>
      <c r="AE159" s="3" t="s">
        <v>4869</v>
      </c>
      <c r="AF159" s="3" t="s">
        <v>1250</v>
      </c>
      <c r="AG159" s="4"/>
      <c r="AH159" s="3" t="s">
        <v>969</v>
      </c>
      <c r="AI159" s="3" t="s">
        <v>4870</v>
      </c>
      <c r="AJ159" s="3" t="s">
        <v>4871</v>
      </c>
      <c r="AK159" s="3" t="s">
        <v>4872</v>
      </c>
      <c r="AL159" s="3" t="s">
        <v>4873</v>
      </c>
      <c r="AM159" s="3" t="s">
        <v>4874</v>
      </c>
      <c r="AN159" s="3" t="s">
        <v>4875</v>
      </c>
      <c r="AO159" s="3" t="s">
        <v>4876</v>
      </c>
      <c r="AP159" s="3" t="s">
        <v>4877</v>
      </c>
      <c r="AQ159" s="3" t="s">
        <v>4878</v>
      </c>
      <c r="AR159" s="3" t="s">
        <v>4879</v>
      </c>
      <c r="AS159" s="3" t="s">
        <v>969</v>
      </c>
      <c r="AT159" s="3" t="s">
        <v>969</v>
      </c>
      <c r="AU159" s="3" t="s">
        <v>1039</v>
      </c>
      <c r="AV159" s="3" t="s">
        <v>1144</v>
      </c>
      <c r="AW159" s="3" t="s">
        <v>4880</v>
      </c>
      <c r="AX159" s="3" t="s">
        <v>969</v>
      </c>
      <c r="AY159" s="27">
        <v>15.99</v>
      </c>
    </row>
    <row r="160" ht="15.75" customHeight="1">
      <c r="A160" s="24"/>
      <c r="B160" s="24">
        <v>10.0</v>
      </c>
      <c r="C160" s="5" t="s">
        <v>1</v>
      </c>
      <c r="D160" s="3" t="s">
        <v>953</v>
      </c>
      <c r="E160" s="25">
        <v>46172.23958333334</v>
      </c>
      <c r="F160" s="3" t="s">
        <v>4881</v>
      </c>
      <c r="G160" s="3" t="s">
        <v>4881</v>
      </c>
      <c r="H160" s="3" t="s">
        <v>4882</v>
      </c>
      <c r="I160" s="3" t="s">
        <v>4883</v>
      </c>
      <c r="J160" s="3" t="s">
        <v>4884</v>
      </c>
      <c r="K160" s="3" t="s">
        <v>4885</v>
      </c>
      <c r="L160" s="3" t="s">
        <v>4886</v>
      </c>
      <c r="M160" s="26">
        <v>39203.0</v>
      </c>
      <c r="N160" s="3" t="s">
        <v>4887</v>
      </c>
      <c r="O160" s="3" t="s">
        <v>4888</v>
      </c>
      <c r="P160" s="3" t="s">
        <v>4889</v>
      </c>
      <c r="Q160" s="3" t="s">
        <v>4890</v>
      </c>
      <c r="R160" s="3" t="s">
        <v>4891</v>
      </c>
      <c r="S160" s="3" t="s">
        <v>4892</v>
      </c>
      <c r="T160" s="3" t="s">
        <v>4893</v>
      </c>
      <c r="U160" s="3" t="s">
        <v>1124</v>
      </c>
      <c r="V160" s="3" t="s">
        <v>1684</v>
      </c>
      <c r="W160" s="3" t="s">
        <v>4894</v>
      </c>
      <c r="X160" s="3" t="s">
        <v>4895</v>
      </c>
      <c r="Y160" s="3" t="s">
        <v>969</v>
      </c>
      <c r="Z160" s="4"/>
      <c r="AA160" s="3" t="s">
        <v>971</v>
      </c>
      <c r="AB160" s="4"/>
      <c r="AC160" s="4"/>
      <c r="AD160" s="3" t="s">
        <v>4896</v>
      </c>
      <c r="AE160" s="3" t="s">
        <v>4897</v>
      </c>
      <c r="AF160" s="3" t="s">
        <v>4898</v>
      </c>
      <c r="AG160" s="3" t="s">
        <v>4899</v>
      </c>
      <c r="AH160" s="3" t="s">
        <v>971</v>
      </c>
      <c r="AI160" s="4"/>
      <c r="AJ160" s="3" t="s">
        <v>4900</v>
      </c>
      <c r="AK160" s="3" t="s">
        <v>4901</v>
      </c>
      <c r="AL160" s="3" t="s">
        <v>4902</v>
      </c>
      <c r="AM160" s="3" t="s">
        <v>4903</v>
      </c>
      <c r="AN160" s="3" t="s">
        <v>4904</v>
      </c>
      <c r="AO160" s="3" t="s">
        <v>4905</v>
      </c>
      <c r="AP160" s="3" t="s">
        <v>4906</v>
      </c>
      <c r="AQ160" s="3" t="s">
        <v>4907</v>
      </c>
      <c r="AR160" s="3" t="s">
        <v>4908</v>
      </c>
      <c r="AS160" s="3" t="s">
        <v>971</v>
      </c>
      <c r="AT160" s="3" t="s">
        <v>969</v>
      </c>
      <c r="AU160" s="3" t="s">
        <v>1039</v>
      </c>
      <c r="AV160" s="3" t="s">
        <v>4909</v>
      </c>
      <c r="AW160" s="4"/>
      <c r="AX160" s="3" t="s">
        <v>969</v>
      </c>
      <c r="AY160" s="27">
        <v>15.99</v>
      </c>
    </row>
    <row r="161" ht="15.75" customHeight="1">
      <c r="A161" s="24"/>
      <c r="B161" s="24">
        <v>8.0</v>
      </c>
      <c r="C161" s="5" t="s">
        <v>1</v>
      </c>
      <c r="D161" s="3" t="s">
        <v>953</v>
      </c>
      <c r="E161" s="25">
        <v>46160.94791666666</v>
      </c>
      <c r="F161" s="3" t="s">
        <v>4910</v>
      </c>
      <c r="G161" s="3" t="s">
        <v>4910</v>
      </c>
      <c r="H161" s="3" t="s">
        <v>4911</v>
      </c>
      <c r="I161" s="3" t="s">
        <v>4911</v>
      </c>
      <c r="J161" s="4"/>
      <c r="K161" s="3" t="s">
        <v>189</v>
      </c>
      <c r="L161" s="3" t="s">
        <v>4912</v>
      </c>
      <c r="M161" s="26">
        <v>46169.0</v>
      </c>
      <c r="N161" s="3" t="s">
        <v>4913</v>
      </c>
      <c r="O161" s="3" t="s">
        <v>4914</v>
      </c>
      <c r="P161" s="4"/>
      <c r="Q161" s="4"/>
      <c r="R161" s="4"/>
      <c r="S161" s="3" t="s">
        <v>4915</v>
      </c>
      <c r="T161" s="3" t="s">
        <v>4916</v>
      </c>
      <c r="U161" s="3" t="s">
        <v>1271</v>
      </c>
      <c r="V161" s="3" t="s">
        <v>993</v>
      </c>
      <c r="W161" s="4"/>
      <c r="X161" s="3" t="s">
        <v>4917</v>
      </c>
      <c r="Y161" s="3" t="s">
        <v>969</v>
      </c>
      <c r="Z161" s="3" t="s">
        <v>4918</v>
      </c>
      <c r="AA161" s="3" t="s">
        <v>971</v>
      </c>
      <c r="AB161" s="4"/>
      <c r="AC161" s="4"/>
      <c r="AD161" s="3" t="s">
        <v>4919</v>
      </c>
      <c r="AE161" s="4"/>
      <c r="AF161" s="4"/>
      <c r="AG161" s="4"/>
      <c r="AH161" s="3" t="s">
        <v>971</v>
      </c>
      <c r="AI161" s="4"/>
      <c r="AJ161" s="4"/>
      <c r="AK161" s="4"/>
      <c r="AL161" s="4"/>
      <c r="AM161" s="3" t="s">
        <v>4920</v>
      </c>
      <c r="AN161" s="3" t="s">
        <v>4921</v>
      </c>
      <c r="AO161" s="3" t="s">
        <v>4922</v>
      </c>
      <c r="AP161" s="3" t="s">
        <v>4923</v>
      </c>
      <c r="AQ161" s="3" t="s">
        <v>4924</v>
      </c>
      <c r="AR161" s="3" t="s">
        <v>4925</v>
      </c>
      <c r="AS161" s="3" t="s">
        <v>969</v>
      </c>
      <c r="AT161" s="3" t="s">
        <v>969</v>
      </c>
      <c r="AU161" s="3" t="s">
        <v>1039</v>
      </c>
      <c r="AV161" s="3" t="s">
        <v>4926</v>
      </c>
      <c r="AW161" s="4"/>
      <c r="AX161" s="3" t="s">
        <v>969</v>
      </c>
      <c r="AY161" s="27">
        <v>15.99</v>
      </c>
    </row>
    <row r="162" ht="15.75" customHeight="1">
      <c r="A162" s="24"/>
      <c r="B162" s="24">
        <v>6.0</v>
      </c>
      <c r="C162" s="5" t="s">
        <v>1</v>
      </c>
      <c r="D162" s="3" t="s">
        <v>953</v>
      </c>
      <c r="E162" s="25">
        <v>46143.12013888889</v>
      </c>
      <c r="F162" s="3" t="s">
        <v>4927</v>
      </c>
      <c r="G162" s="3" t="s">
        <v>4927</v>
      </c>
      <c r="H162" s="3" t="s">
        <v>4928</v>
      </c>
      <c r="I162" s="3" t="s">
        <v>4929</v>
      </c>
      <c r="J162" s="3" t="s">
        <v>4930</v>
      </c>
      <c r="K162" s="3" t="s">
        <v>4931</v>
      </c>
      <c r="L162" s="3" t="s">
        <v>4932</v>
      </c>
      <c r="M162" s="26">
        <v>37911.0</v>
      </c>
      <c r="N162" s="3" t="s">
        <v>4933</v>
      </c>
      <c r="O162" s="3" t="s">
        <v>4934</v>
      </c>
      <c r="P162" s="4"/>
      <c r="Q162" s="4"/>
      <c r="R162" s="4"/>
      <c r="S162" s="3" t="s">
        <v>4935</v>
      </c>
      <c r="T162" s="3" t="s">
        <v>4936</v>
      </c>
      <c r="U162" s="3" t="s">
        <v>1050</v>
      </c>
      <c r="V162" s="3" t="s">
        <v>4937</v>
      </c>
      <c r="W162" s="3" t="s">
        <v>4938</v>
      </c>
      <c r="X162" s="3" t="s">
        <v>4939</v>
      </c>
      <c r="Y162" s="3" t="s">
        <v>969</v>
      </c>
      <c r="Z162" s="3" t="s">
        <v>4940</v>
      </c>
      <c r="AA162" s="3" t="s">
        <v>971</v>
      </c>
      <c r="AB162" s="4"/>
      <c r="AC162" s="3" t="s">
        <v>4941</v>
      </c>
      <c r="AD162" s="3" t="s">
        <v>4942</v>
      </c>
      <c r="AE162" s="3" t="s">
        <v>4943</v>
      </c>
      <c r="AF162" s="3" t="s">
        <v>1250</v>
      </c>
      <c r="AG162" s="3" t="s">
        <v>4045</v>
      </c>
      <c r="AH162" s="3" t="s">
        <v>971</v>
      </c>
      <c r="AI162" s="4"/>
      <c r="AJ162" s="3" t="s">
        <v>4944</v>
      </c>
      <c r="AK162" s="3" t="s">
        <v>4945</v>
      </c>
      <c r="AL162" s="3" t="s">
        <v>4946</v>
      </c>
      <c r="AM162" s="3" t="s">
        <v>4947</v>
      </c>
      <c r="AN162" s="3" t="s">
        <v>4948</v>
      </c>
      <c r="AO162" s="3" t="s">
        <v>4949</v>
      </c>
      <c r="AP162" s="3" t="s">
        <v>4950</v>
      </c>
      <c r="AQ162" s="3" t="s">
        <v>4951</v>
      </c>
      <c r="AR162" s="3" t="s">
        <v>4952</v>
      </c>
      <c r="AS162" s="3" t="s">
        <v>969</v>
      </c>
      <c r="AT162" s="3" t="s">
        <v>969</v>
      </c>
      <c r="AU162" s="3" t="s">
        <v>1039</v>
      </c>
      <c r="AV162" s="3" t="s">
        <v>4953</v>
      </c>
      <c r="AW162" s="3" t="s">
        <v>4954</v>
      </c>
      <c r="AX162" s="3" t="s">
        <v>969</v>
      </c>
      <c r="AY162" s="27">
        <v>15.99</v>
      </c>
    </row>
    <row r="163" ht="15.75" customHeight="1">
      <c r="A163" s="24"/>
      <c r="B163" s="24">
        <v>12.0</v>
      </c>
      <c r="D163" s="3" t="s">
        <v>953</v>
      </c>
      <c r="E163" s="25">
        <v>46172.42430555556</v>
      </c>
      <c r="F163" s="3" t="s">
        <v>4955</v>
      </c>
      <c r="G163" s="3" t="s">
        <v>4955</v>
      </c>
      <c r="H163" s="3" t="s">
        <v>11</v>
      </c>
      <c r="I163" s="3" t="s">
        <v>11</v>
      </c>
      <c r="J163" s="4"/>
      <c r="K163" s="3" t="s">
        <v>3155</v>
      </c>
      <c r="L163" s="3" t="s">
        <v>4956</v>
      </c>
      <c r="M163" s="26">
        <v>37484.0</v>
      </c>
      <c r="N163" s="3" t="s">
        <v>4957</v>
      </c>
      <c r="O163" s="3" t="s">
        <v>4958</v>
      </c>
      <c r="P163" s="4"/>
      <c r="Q163" s="3" t="s">
        <v>4959</v>
      </c>
      <c r="R163" s="4"/>
      <c r="S163" s="3" t="s">
        <v>1605</v>
      </c>
      <c r="T163" s="3" t="s">
        <v>4960</v>
      </c>
      <c r="U163" s="3" t="s">
        <v>1050</v>
      </c>
      <c r="V163" s="3" t="s">
        <v>4961</v>
      </c>
      <c r="W163" s="3" t="s">
        <v>4962</v>
      </c>
      <c r="X163" s="3" t="s">
        <v>4963</v>
      </c>
      <c r="Y163" s="3" t="s">
        <v>971</v>
      </c>
      <c r="Z163" s="3" t="s">
        <v>4964</v>
      </c>
      <c r="AA163" s="3" t="s">
        <v>971</v>
      </c>
      <c r="AB163" s="4"/>
      <c r="AC163" s="3" t="s">
        <v>4965</v>
      </c>
      <c r="AD163" s="3" t="s">
        <v>4966</v>
      </c>
      <c r="AE163" s="4"/>
      <c r="AF163" s="4"/>
      <c r="AG163" s="4"/>
      <c r="AH163" s="3" t="s">
        <v>971</v>
      </c>
      <c r="AI163" s="4"/>
      <c r="AJ163" s="3" t="s">
        <v>4967</v>
      </c>
      <c r="AK163" s="3" t="s">
        <v>4968</v>
      </c>
      <c r="AL163" s="3" t="s">
        <v>4969</v>
      </c>
      <c r="AM163" s="3" t="s">
        <v>1061</v>
      </c>
      <c r="AN163" s="3" t="s">
        <v>4970</v>
      </c>
      <c r="AO163" s="3" t="s">
        <v>4971</v>
      </c>
      <c r="AP163" s="3" t="s">
        <v>4972</v>
      </c>
      <c r="AQ163" s="3" t="s">
        <v>4973</v>
      </c>
      <c r="AR163" s="3" t="s">
        <v>4974</v>
      </c>
      <c r="AS163" s="3" t="s">
        <v>969</v>
      </c>
      <c r="AT163" s="3" t="s">
        <v>969</v>
      </c>
      <c r="AU163" s="3" t="s">
        <v>1409</v>
      </c>
      <c r="AV163" s="3" t="s">
        <v>4975</v>
      </c>
      <c r="AW163" s="3" t="s">
        <v>4976</v>
      </c>
      <c r="AX163" s="3" t="s">
        <v>969</v>
      </c>
      <c r="AY163" s="27">
        <v>15.99</v>
      </c>
      <c r="AZ163" s="5" t="s">
        <v>9</v>
      </c>
      <c r="BA163" s="5" t="s">
        <v>14</v>
      </c>
    </row>
    <row r="164" ht="15.75" customHeight="1">
      <c r="A164" s="24"/>
      <c r="B164" s="24">
        <v>18.0</v>
      </c>
      <c r="C164" s="21" t="s">
        <v>9</v>
      </c>
      <c r="D164" s="3" t="s">
        <v>953</v>
      </c>
      <c r="E164" s="25">
        <v>46175.33402777778</v>
      </c>
      <c r="F164" s="3" t="s">
        <v>30</v>
      </c>
      <c r="G164" s="3" t="s">
        <v>30</v>
      </c>
      <c r="H164" s="3" t="s">
        <v>453</v>
      </c>
      <c r="I164" s="3" t="s">
        <v>4977</v>
      </c>
      <c r="J164" s="3" t="s">
        <v>4978</v>
      </c>
      <c r="K164" s="3" t="s">
        <v>3137</v>
      </c>
      <c r="L164" s="3" t="s">
        <v>4979</v>
      </c>
      <c r="M164" s="26">
        <v>34245.0</v>
      </c>
      <c r="N164" s="3" t="s">
        <v>4980</v>
      </c>
      <c r="O164" s="3" t="s">
        <v>4981</v>
      </c>
      <c r="P164" s="4"/>
      <c r="Q164" s="3" t="s">
        <v>4982</v>
      </c>
      <c r="R164" s="3" t="s">
        <v>4982</v>
      </c>
      <c r="S164" s="3" t="s">
        <v>4983</v>
      </c>
      <c r="T164" s="3" t="s">
        <v>4984</v>
      </c>
      <c r="U164" s="3" t="s">
        <v>1245</v>
      </c>
      <c r="V164" s="3" t="s">
        <v>2754</v>
      </c>
      <c r="W164" s="4"/>
      <c r="X164" s="3" t="s">
        <v>4985</v>
      </c>
      <c r="Y164" s="3" t="s">
        <v>969</v>
      </c>
      <c r="Z164" s="4"/>
      <c r="AA164" s="3" t="s">
        <v>971</v>
      </c>
      <c r="AB164" s="4"/>
      <c r="AC164" s="4"/>
      <c r="AD164" s="3" t="s">
        <v>971</v>
      </c>
      <c r="AE164" s="4"/>
      <c r="AF164" s="4"/>
      <c r="AG164" s="4"/>
      <c r="AH164" s="3" t="s">
        <v>971</v>
      </c>
      <c r="AI164" s="4"/>
      <c r="AJ164" s="4"/>
      <c r="AK164" s="4"/>
      <c r="AL164" s="4"/>
      <c r="AM164" s="3" t="s">
        <v>4986</v>
      </c>
      <c r="AN164" s="3" t="s">
        <v>4987</v>
      </c>
      <c r="AO164" s="3" t="s">
        <v>4988</v>
      </c>
      <c r="AP164" s="3" t="s">
        <v>4989</v>
      </c>
      <c r="AQ164" s="3" t="s">
        <v>4990</v>
      </c>
      <c r="AR164" s="3" t="s">
        <v>4991</v>
      </c>
      <c r="AS164" s="3" t="s">
        <v>969</v>
      </c>
      <c r="AT164" s="3" t="s">
        <v>969</v>
      </c>
      <c r="AU164" s="3" t="s">
        <v>1039</v>
      </c>
      <c r="AV164" s="3" t="s">
        <v>4992</v>
      </c>
      <c r="AW164" s="4"/>
      <c r="AX164" s="3" t="s">
        <v>969</v>
      </c>
      <c r="AY164" s="27">
        <v>15.99</v>
      </c>
      <c r="AZ164" s="5" t="s">
        <v>27</v>
      </c>
      <c r="BA164" s="5" t="s">
        <v>22</v>
      </c>
    </row>
    <row r="165" ht="15.75" customHeight="1">
      <c r="A165" s="4"/>
      <c r="B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row>
    <row r="166" ht="15.75" customHeight="1">
      <c r="A166" s="4"/>
      <c r="B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row>
    <row r="167" ht="15.75" customHeight="1">
      <c r="A167" s="4"/>
      <c r="B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row>
    <row r="168" ht="15.75" customHeight="1">
      <c r="A168" s="4"/>
      <c r="B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row>
    <row r="169" ht="15.75" customHeight="1">
      <c r="A169" s="4"/>
      <c r="B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row>
    <row r="170" ht="15.75" customHeight="1">
      <c r="A170" s="4"/>
      <c r="B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row>
    <row r="171" ht="15.75" customHeight="1">
      <c r="A171" s="4"/>
      <c r="B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row>
    <row r="172" ht="15.75" customHeight="1">
      <c r="A172" s="4"/>
      <c r="B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row>
    <row r="173" ht="15.75" customHeight="1">
      <c r="A173" s="4"/>
      <c r="B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row>
    <row r="174" ht="15.75" customHeight="1">
      <c r="A174" s="4"/>
      <c r="B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row>
    <row r="175" ht="15.75" customHeight="1">
      <c r="A175" s="4"/>
      <c r="B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row>
    <row r="176" ht="15.75" customHeight="1">
      <c r="A176" s="4"/>
      <c r="B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row>
    <row r="177" ht="15.75" customHeight="1">
      <c r="A177" s="4"/>
      <c r="B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row>
    <row r="178" ht="15.75" customHeight="1">
      <c r="A178" s="4"/>
      <c r="B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row>
    <row r="179" ht="15.75" customHeight="1">
      <c r="A179" s="4"/>
      <c r="B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row>
    <row r="180" ht="15.75" customHeight="1">
      <c r="A180" s="4"/>
      <c r="B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row>
    <row r="181" ht="15.75" customHeight="1">
      <c r="A181" s="4"/>
      <c r="B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row>
    <row r="182" ht="15.75" customHeight="1">
      <c r="A182" s="4"/>
      <c r="B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row>
    <row r="183" ht="15.75" customHeight="1">
      <c r="A183" s="4"/>
      <c r="B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row>
    <row r="184" ht="15.75" customHeight="1">
      <c r="A184" s="4"/>
      <c r="B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row>
    <row r="185" ht="15.75" customHeight="1">
      <c r="A185" s="4"/>
      <c r="B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row>
    <row r="186" ht="15.75" customHeight="1">
      <c r="A186" s="4"/>
      <c r="B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row>
    <row r="187" ht="15.75" customHeight="1">
      <c r="A187" s="4"/>
      <c r="B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row>
    <row r="188" ht="15.75" customHeight="1">
      <c r="A188" s="4"/>
      <c r="B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row>
    <row r="189" ht="15.75" customHeight="1">
      <c r="A189" s="4"/>
      <c r="B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row>
    <row r="190" ht="15.75" customHeight="1">
      <c r="A190" s="4"/>
      <c r="B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row>
    <row r="191" ht="15.75" customHeight="1">
      <c r="A191" s="4"/>
      <c r="B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row>
    <row r="192" ht="15.75" customHeight="1">
      <c r="A192" s="4"/>
      <c r="B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row>
    <row r="193" ht="15.75" customHeight="1">
      <c r="A193" s="4"/>
      <c r="B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row>
    <row r="194" ht="15.75" customHeight="1">
      <c r="A194" s="4"/>
      <c r="B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row>
    <row r="195" ht="15.75" customHeight="1">
      <c r="A195" s="4"/>
      <c r="B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row>
    <row r="196" ht="15.75" customHeight="1">
      <c r="A196" s="4"/>
      <c r="B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row>
    <row r="197" ht="15.75" customHeight="1">
      <c r="A197" s="4"/>
      <c r="B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row>
    <row r="198" ht="15.75" customHeight="1">
      <c r="A198" s="4"/>
      <c r="B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row>
    <row r="199" ht="15.75" customHeight="1">
      <c r="A199" s="4"/>
      <c r="B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row>
    <row r="200" ht="15.75" customHeight="1">
      <c r="A200" s="4"/>
      <c r="B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row>
    <row r="201" ht="15.75" customHeight="1">
      <c r="A201" s="4"/>
      <c r="B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row>
    <row r="202" ht="15.75" customHeight="1">
      <c r="A202" s="4"/>
      <c r="B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row>
    <row r="203" ht="15.75" customHeight="1">
      <c r="A203" s="4"/>
      <c r="B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row>
    <row r="204" ht="15.75" customHeight="1">
      <c r="A204" s="4"/>
      <c r="B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row>
    <row r="205" ht="15.75" customHeight="1">
      <c r="A205" s="4"/>
      <c r="B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row>
    <row r="206" ht="15.75" customHeight="1">
      <c r="A206" s="4"/>
      <c r="B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row>
    <row r="207" ht="15.75" customHeight="1">
      <c r="A207" s="4"/>
      <c r="B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row>
    <row r="208" ht="15.75" customHeight="1">
      <c r="A208" s="4"/>
      <c r="B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row>
    <row r="209" ht="15.75" customHeight="1">
      <c r="A209" s="4"/>
      <c r="B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row>
    <row r="210" ht="15.75" customHeight="1">
      <c r="A210" s="4"/>
      <c r="B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row>
    <row r="211" ht="15.75" customHeight="1">
      <c r="A211" s="4"/>
      <c r="B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row>
    <row r="212" ht="15.75" customHeight="1">
      <c r="A212" s="4"/>
      <c r="B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row>
    <row r="213" ht="15.75" customHeight="1">
      <c r="A213" s="4"/>
      <c r="B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row>
    <row r="214" ht="15.75" customHeight="1">
      <c r="A214" s="4"/>
      <c r="B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row>
    <row r="215" ht="15.75" customHeight="1">
      <c r="A215" s="4"/>
      <c r="B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row>
    <row r="216" ht="15.75" customHeight="1">
      <c r="A216" s="4"/>
      <c r="B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row>
    <row r="217" ht="15.75" customHeight="1">
      <c r="A217" s="4"/>
      <c r="B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row>
    <row r="218" ht="15.75" customHeight="1">
      <c r="A218" s="4"/>
      <c r="B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row>
    <row r="219" ht="15.75" customHeight="1">
      <c r="A219" s="4"/>
      <c r="B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row>
    <row r="220" ht="15.75" customHeight="1">
      <c r="A220" s="4"/>
      <c r="B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row>
    <row r="221" ht="15.75" customHeight="1">
      <c r="A221" s="4"/>
      <c r="B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row>
    <row r="222" ht="15.75" customHeight="1">
      <c r="A222" s="4"/>
      <c r="B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row>
    <row r="223" ht="15.75" customHeight="1">
      <c r="A223" s="4"/>
      <c r="B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row>
    <row r="224" ht="15.75" customHeight="1">
      <c r="A224" s="4"/>
      <c r="B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row>
    <row r="225" ht="15.75" customHeight="1">
      <c r="A225" s="4"/>
      <c r="B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row>
    <row r="226" ht="15.75" customHeight="1">
      <c r="A226" s="4"/>
      <c r="B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row>
    <row r="227" ht="15.75" customHeight="1">
      <c r="A227" s="4"/>
      <c r="B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row>
    <row r="228" ht="15.75" customHeight="1">
      <c r="A228" s="4"/>
      <c r="B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row>
    <row r="229" ht="15.75" customHeight="1">
      <c r="A229" s="4"/>
      <c r="B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row>
    <row r="230" ht="15.75" customHeight="1">
      <c r="A230" s="4"/>
      <c r="B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row>
    <row r="231" ht="15.75" customHeight="1">
      <c r="A231" s="4"/>
      <c r="B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row>
    <row r="232" ht="15.75" customHeight="1">
      <c r="A232" s="4"/>
      <c r="B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row>
    <row r="233" ht="15.75" customHeight="1">
      <c r="A233" s="4"/>
      <c r="B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row>
    <row r="234" ht="15.75" customHeight="1">
      <c r="A234" s="4"/>
      <c r="B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row>
    <row r="235" ht="15.75" customHeight="1">
      <c r="A235" s="4"/>
      <c r="B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row>
    <row r="236" ht="15.75" customHeight="1">
      <c r="A236" s="4"/>
      <c r="B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row>
    <row r="237" ht="15.75" customHeight="1">
      <c r="A237" s="4"/>
      <c r="B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row>
    <row r="238" ht="15.75" customHeight="1">
      <c r="A238" s="4"/>
      <c r="B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row>
    <row r="239" ht="15.75" customHeight="1">
      <c r="A239" s="4"/>
      <c r="B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row>
    <row r="240" ht="15.75" customHeight="1">
      <c r="A240" s="4"/>
      <c r="B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row>
    <row r="241" ht="15.75" customHeight="1">
      <c r="A241" s="4"/>
      <c r="B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row>
    <row r="242" ht="15.75" customHeight="1">
      <c r="A242" s="4"/>
      <c r="B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row>
    <row r="243" ht="15.75" customHeight="1">
      <c r="A243" s="4"/>
      <c r="B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row>
    <row r="244" ht="15.75" customHeight="1">
      <c r="A244" s="4"/>
      <c r="B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row>
    <row r="245" ht="15.75" customHeight="1">
      <c r="A245" s="4"/>
      <c r="B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row>
    <row r="246" ht="15.75" customHeight="1">
      <c r="A246" s="4"/>
      <c r="B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row>
    <row r="247" ht="15.75" customHeight="1">
      <c r="A247" s="4"/>
      <c r="B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row>
    <row r="248" ht="15.75" customHeight="1">
      <c r="A248" s="4"/>
      <c r="B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row>
    <row r="249" ht="15.75" customHeight="1">
      <c r="A249" s="4"/>
      <c r="B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row>
    <row r="250" ht="15.75" customHeight="1">
      <c r="A250" s="4"/>
      <c r="B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row>
    <row r="251" ht="15.75" customHeight="1">
      <c r="A251" s="4"/>
      <c r="B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row>
    <row r="252" ht="15.75" customHeight="1">
      <c r="A252" s="4"/>
      <c r="B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row>
    <row r="253" ht="15.75" customHeight="1">
      <c r="A253" s="4"/>
      <c r="B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row>
    <row r="254" ht="15.75" customHeight="1">
      <c r="A254" s="4"/>
      <c r="B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row>
    <row r="255" ht="15.75" customHeight="1">
      <c r="A255" s="4"/>
      <c r="B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row>
    <row r="256" ht="15.75" customHeight="1">
      <c r="A256" s="4"/>
      <c r="B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row>
    <row r="257" ht="15.75" customHeight="1">
      <c r="A257" s="4"/>
      <c r="B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row>
    <row r="258" ht="15.75" customHeight="1">
      <c r="A258" s="4"/>
      <c r="B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row>
    <row r="259" ht="15.75" customHeight="1">
      <c r="A259" s="4"/>
      <c r="B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row>
    <row r="260" ht="15.75" customHeight="1">
      <c r="A260" s="4"/>
      <c r="B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row>
    <row r="261" ht="15.75" customHeight="1">
      <c r="A261" s="4"/>
      <c r="B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row>
    <row r="262" ht="15.75" customHeight="1">
      <c r="A262" s="4"/>
      <c r="B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row>
    <row r="263" ht="15.75" customHeight="1">
      <c r="A263" s="4"/>
      <c r="B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row>
    <row r="264" ht="15.75" customHeight="1">
      <c r="A264" s="4"/>
      <c r="B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row>
    <row r="265" ht="15.75" customHeight="1">
      <c r="A265" s="4"/>
      <c r="B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row>
    <row r="266" ht="15.75" customHeight="1">
      <c r="A266" s="4"/>
      <c r="B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row>
    <row r="267" ht="15.75" customHeight="1">
      <c r="A267" s="4"/>
      <c r="B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row>
    <row r="268" ht="15.75" customHeight="1">
      <c r="A268" s="4"/>
      <c r="B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row>
    <row r="269" ht="15.75" customHeight="1">
      <c r="A269" s="4"/>
      <c r="B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row>
    <row r="270" ht="15.75" customHeight="1">
      <c r="A270" s="4"/>
      <c r="B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row>
    <row r="271" ht="15.75" customHeight="1">
      <c r="A271" s="4"/>
      <c r="B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row>
    <row r="272" ht="15.75" customHeight="1">
      <c r="A272" s="4"/>
      <c r="B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row>
    <row r="273" ht="15.75" customHeight="1">
      <c r="A273" s="4"/>
      <c r="B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row>
    <row r="274" ht="15.75" customHeight="1">
      <c r="A274" s="4"/>
      <c r="B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row>
    <row r="275" ht="15.75" customHeight="1">
      <c r="A275" s="4"/>
      <c r="B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row>
    <row r="276" ht="15.75" customHeight="1">
      <c r="A276" s="4"/>
      <c r="B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row>
    <row r="277" ht="15.75" customHeight="1">
      <c r="A277" s="4"/>
      <c r="B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row>
    <row r="278" ht="15.75" customHeight="1">
      <c r="A278" s="4"/>
      <c r="B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row>
    <row r="279" ht="15.75" customHeight="1">
      <c r="A279" s="4"/>
      <c r="B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row>
    <row r="280" ht="15.75" customHeight="1">
      <c r="A280" s="4"/>
      <c r="B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row>
    <row r="281" ht="15.75" customHeight="1">
      <c r="A281" s="4"/>
      <c r="B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row>
    <row r="282" ht="15.75" customHeight="1">
      <c r="A282" s="4"/>
      <c r="B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row>
    <row r="283" ht="15.75" customHeight="1">
      <c r="A283" s="4"/>
      <c r="B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row>
    <row r="284" ht="15.75" customHeight="1">
      <c r="A284" s="4"/>
      <c r="B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row>
    <row r="285" ht="15.75" customHeight="1">
      <c r="A285" s="4"/>
      <c r="B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row>
    <row r="286" ht="15.75" customHeight="1">
      <c r="A286" s="4"/>
      <c r="B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row>
    <row r="287" ht="15.75" customHeight="1">
      <c r="A287" s="4"/>
      <c r="B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row>
    <row r="288" ht="15.75" customHeight="1">
      <c r="A288" s="4"/>
      <c r="B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row>
    <row r="289" ht="15.75" customHeight="1">
      <c r="A289" s="4"/>
      <c r="B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row>
    <row r="290" ht="15.75" customHeight="1">
      <c r="A290" s="4"/>
      <c r="B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row>
    <row r="291" ht="15.75" customHeight="1">
      <c r="A291" s="4"/>
      <c r="B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row>
    <row r="292" ht="15.75" customHeight="1">
      <c r="A292" s="4"/>
      <c r="B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row>
    <row r="293" ht="15.75" customHeight="1">
      <c r="A293" s="4"/>
      <c r="B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row>
    <row r="294" ht="15.75" customHeight="1">
      <c r="A294" s="4"/>
      <c r="B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row>
    <row r="295" ht="15.75" customHeight="1">
      <c r="A295" s="4"/>
      <c r="B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row>
    <row r="296" ht="15.75" customHeight="1">
      <c r="A296" s="4"/>
      <c r="B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row>
    <row r="297" ht="15.75" customHeight="1">
      <c r="A297" s="4"/>
      <c r="B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row>
    <row r="298" ht="15.75" customHeight="1">
      <c r="A298" s="4"/>
      <c r="B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row>
    <row r="299" ht="15.75" customHeight="1">
      <c r="A299" s="4"/>
      <c r="B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row>
    <row r="300" ht="15.75" customHeight="1">
      <c r="A300" s="4"/>
      <c r="B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row>
    <row r="301" ht="15.75" customHeight="1">
      <c r="A301" s="4"/>
      <c r="B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row>
    <row r="302" ht="15.75" customHeight="1">
      <c r="A302" s="4"/>
      <c r="B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row>
    <row r="303" ht="15.75" customHeight="1">
      <c r="A303" s="4"/>
      <c r="B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row>
    <row r="304" ht="15.75" customHeight="1">
      <c r="A304" s="4"/>
      <c r="B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row>
    <row r="305" ht="15.75" customHeight="1">
      <c r="A305" s="4"/>
      <c r="B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row>
    <row r="306" ht="15.75" customHeight="1">
      <c r="A306" s="4"/>
      <c r="B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row>
    <row r="307" ht="15.75" customHeight="1">
      <c r="A307" s="4"/>
      <c r="B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row>
    <row r="308" ht="15.75" customHeight="1">
      <c r="A308" s="4"/>
      <c r="B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row>
    <row r="309" ht="15.75" customHeight="1">
      <c r="A309" s="4"/>
      <c r="B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row>
    <row r="310" ht="15.75" customHeight="1">
      <c r="A310" s="4"/>
      <c r="B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row>
    <row r="311" ht="15.75" customHeight="1">
      <c r="A311" s="4"/>
      <c r="B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row>
    <row r="312" ht="15.75" customHeight="1">
      <c r="A312" s="4"/>
      <c r="B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row>
    <row r="313" ht="15.75" customHeight="1">
      <c r="A313" s="4"/>
      <c r="B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row>
    <row r="314" ht="15.75" customHeight="1">
      <c r="A314" s="4"/>
      <c r="B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row>
    <row r="315" ht="15.75" customHeight="1">
      <c r="A315" s="4"/>
      <c r="B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row>
    <row r="316" ht="15.75" customHeight="1">
      <c r="A316" s="4"/>
      <c r="B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row>
    <row r="317" ht="15.75" customHeight="1">
      <c r="A317" s="4"/>
      <c r="B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row>
    <row r="318" ht="15.75" customHeight="1">
      <c r="A318" s="4"/>
      <c r="B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row>
    <row r="319" ht="15.75" customHeight="1">
      <c r="A319" s="4"/>
      <c r="B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row>
    <row r="320" ht="15.75" customHeight="1">
      <c r="A320" s="4"/>
      <c r="B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row>
    <row r="321" ht="15.75" customHeight="1">
      <c r="A321" s="4"/>
      <c r="B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row>
    <row r="322" ht="15.75" customHeight="1">
      <c r="A322" s="4"/>
      <c r="B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row>
    <row r="323" ht="15.75" customHeight="1">
      <c r="A323" s="4"/>
      <c r="B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row>
    <row r="324" ht="15.75" customHeight="1">
      <c r="A324" s="4"/>
      <c r="B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row>
    <row r="325" ht="15.75" customHeight="1">
      <c r="A325" s="4"/>
      <c r="B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row>
    <row r="326" ht="15.75" customHeight="1">
      <c r="A326" s="4"/>
      <c r="B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row>
    <row r="327" ht="15.75" customHeight="1">
      <c r="A327" s="4"/>
      <c r="B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row>
    <row r="328" ht="15.75" customHeight="1">
      <c r="A328" s="4"/>
      <c r="B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row>
    <row r="329" ht="15.75" customHeight="1">
      <c r="A329" s="4"/>
      <c r="B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row>
    <row r="330" ht="15.75" customHeight="1">
      <c r="A330" s="4"/>
      <c r="B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row>
    <row r="331" ht="15.75" customHeight="1">
      <c r="A331" s="4"/>
      <c r="B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row>
    <row r="332" ht="15.75" customHeight="1">
      <c r="A332" s="4"/>
      <c r="B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row>
    <row r="333" ht="15.75" customHeight="1">
      <c r="A333" s="4"/>
      <c r="B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row>
    <row r="334" ht="15.75" customHeight="1">
      <c r="A334" s="4"/>
      <c r="B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row>
    <row r="335" ht="15.75" customHeight="1">
      <c r="A335" s="4"/>
      <c r="B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row>
    <row r="336" ht="15.75" customHeight="1">
      <c r="A336" s="4"/>
      <c r="B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row>
    <row r="337" ht="15.75" customHeight="1">
      <c r="A337" s="4"/>
      <c r="B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row>
    <row r="338" ht="15.75" customHeight="1">
      <c r="A338" s="4"/>
      <c r="B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row>
    <row r="339" ht="15.75" customHeight="1">
      <c r="A339" s="4"/>
      <c r="B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row>
    <row r="340" ht="15.75" customHeight="1">
      <c r="A340" s="4"/>
      <c r="B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row>
    <row r="341" ht="15.75" customHeight="1">
      <c r="A341" s="4"/>
      <c r="B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row>
    <row r="342" ht="15.75" customHeight="1">
      <c r="A342" s="4"/>
      <c r="B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row>
    <row r="343" ht="15.75" customHeight="1">
      <c r="A343" s="4"/>
      <c r="B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row>
    <row r="344" ht="15.75" customHeight="1">
      <c r="A344" s="4"/>
      <c r="B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row>
    <row r="345" ht="15.75" customHeight="1">
      <c r="A345" s="4"/>
      <c r="B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row>
    <row r="346" ht="15.75" customHeight="1">
      <c r="A346" s="4"/>
      <c r="B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row>
    <row r="347" ht="15.75" customHeight="1">
      <c r="A347" s="4"/>
      <c r="B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row>
    <row r="348" ht="15.75" customHeight="1">
      <c r="A348" s="4"/>
      <c r="B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row>
    <row r="349" ht="15.75" customHeight="1">
      <c r="A349" s="4"/>
      <c r="B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row>
    <row r="350" ht="15.75" customHeight="1">
      <c r="A350" s="4"/>
      <c r="B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row>
    <row r="351" ht="15.75" customHeight="1">
      <c r="A351" s="4"/>
      <c r="B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row>
    <row r="352" ht="15.75" customHeight="1">
      <c r="A352" s="4"/>
      <c r="B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row>
    <row r="353" ht="15.75" customHeight="1">
      <c r="A353" s="4"/>
      <c r="B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row>
    <row r="354" ht="15.75" customHeight="1">
      <c r="A354" s="4"/>
      <c r="B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row>
    <row r="355" ht="15.75" customHeight="1">
      <c r="A355" s="4"/>
      <c r="B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row>
    <row r="356" ht="15.75" customHeight="1">
      <c r="A356" s="4"/>
      <c r="B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row>
    <row r="357" ht="15.75" customHeight="1">
      <c r="A357" s="4"/>
      <c r="B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row>
    <row r="358" ht="15.75" customHeight="1">
      <c r="A358" s="4"/>
      <c r="B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row>
    <row r="359" ht="15.75" customHeight="1">
      <c r="A359" s="4"/>
      <c r="B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row>
    <row r="360" ht="15.75" customHeight="1">
      <c r="A360" s="4"/>
      <c r="B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row>
    <row r="361" ht="15.75" customHeight="1">
      <c r="A361" s="4"/>
      <c r="B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row>
    <row r="362" ht="15.75" customHeight="1">
      <c r="A362" s="4"/>
      <c r="B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row>
    <row r="363" ht="15.75" customHeight="1">
      <c r="A363" s="4"/>
      <c r="B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row>
    <row r="364" ht="15.75" customHeight="1">
      <c r="A364" s="4"/>
      <c r="B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row>
    <row r="365" ht="15.75" customHeight="1">
      <c r="A365" s="4"/>
      <c r="B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row>
    <row r="366" ht="15.75" customHeight="1">
      <c r="A366" s="4"/>
      <c r="B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row>
    <row r="367" ht="15.75" customHeight="1">
      <c r="A367" s="4"/>
      <c r="B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row>
    <row r="368" ht="15.75" customHeight="1">
      <c r="A368" s="4"/>
      <c r="B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row>
    <row r="369" ht="15.75" customHeight="1">
      <c r="A369" s="4"/>
      <c r="B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row>
    <row r="370" ht="15.75" customHeight="1">
      <c r="A370" s="4"/>
      <c r="B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row>
    <row r="371" ht="15.75" customHeight="1">
      <c r="A371" s="4"/>
      <c r="B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row>
    <row r="372" ht="15.75" customHeight="1">
      <c r="A372" s="4"/>
      <c r="B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row>
    <row r="373" ht="15.75" customHeight="1">
      <c r="A373" s="4"/>
      <c r="B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row>
    <row r="374" ht="15.75" customHeight="1">
      <c r="A374" s="4"/>
      <c r="B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row>
    <row r="375" ht="15.75" customHeight="1">
      <c r="A375" s="4"/>
      <c r="B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row>
    <row r="376" ht="15.75" customHeight="1">
      <c r="A376" s="4"/>
      <c r="B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row>
    <row r="377" ht="15.75" customHeight="1">
      <c r="A377" s="4"/>
      <c r="B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row>
    <row r="378" ht="15.75" customHeight="1">
      <c r="A378" s="4"/>
      <c r="B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row>
    <row r="379" ht="15.75" customHeight="1">
      <c r="A379" s="4"/>
      <c r="B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row>
    <row r="380" ht="15.75" customHeight="1">
      <c r="A380" s="4"/>
      <c r="B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row>
    <row r="381" ht="15.75" customHeight="1">
      <c r="A381" s="4"/>
      <c r="B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row>
    <row r="382" ht="15.75" customHeight="1">
      <c r="A382" s="4"/>
      <c r="B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row>
    <row r="383" ht="15.75" customHeight="1">
      <c r="A383" s="4"/>
      <c r="B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row>
    <row r="384" ht="15.75" customHeight="1">
      <c r="A384" s="4"/>
      <c r="B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row>
    <row r="385" ht="15.75" customHeight="1">
      <c r="A385" s="4"/>
      <c r="B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row>
    <row r="386" ht="15.75" customHeight="1">
      <c r="A386" s="4"/>
      <c r="B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row>
    <row r="387" ht="15.75" customHeight="1">
      <c r="A387" s="4"/>
      <c r="B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row>
    <row r="388" ht="15.75" customHeight="1">
      <c r="A388" s="4"/>
      <c r="B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row>
    <row r="389" ht="15.75" customHeight="1">
      <c r="A389" s="4"/>
      <c r="B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row>
    <row r="390" ht="15.75" customHeight="1">
      <c r="A390" s="4"/>
      <c r="B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row>
    <row r="391" ht="15.75" customHeight="1">
      <c r="A391" s="4"/>
      <c r="B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row>
    <row r="392" ht="15.75" customHeight="1">
      <c r="A392" s="4"/>
      <c r="B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row>
    <row r="393" ht="15.75" customHeight="1">
      <c r="A393" s="4"/>
      <c r="B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row>
    <row r="394" ht="15.75" customHeight="1">
      <c r="A394" s="4"/>
      <c r="B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row>
    <row r="395" ht="15.75" customHeight="1">
      <c r="A395" s="4"/>
      <c r="B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row>
    <row r="396" ht="15.75" customHeight="1">
      <c r="A396" s="4"/>
      <c r="B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row>
    <row r="397" ht="15.75" customHeight="1">
      <c r="A397" s="4"/>
      <c r="B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row>
    <row r="398" ht="15.75" customHeight="1">
      <c r="A398" s="4"/>
      <c r="B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row>
    <row r="399" ht="15.75" customHeight="1">
      <c r="A399" s="4"/>
      <c r="B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row>
    <row r="400" ht="15.75" customHeight="1">
      <c r="A400" s="4"/>
      <c r="B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row>
    <row r="401" ht="15.75" customHeight="1">
      <c r="A401" s="4"/>
      <c r="B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row>
    <row r="402" ht="15.75" customHeight="1">
      <c r="A402" s="4"/>
      <c r="B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row>
    <row r="403" ht="15.75" customHeight="1">
      <c r="A403" s="4"/>
      <c r="B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row>
    <row r="404" ht="15.75" customHeight="1">
      <c r="A404" s="4"/>
      <c r="B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row>
    <row r="405" ht="15.75" customHeight="1">
      <c r="A405" s="4"/>
      <c r="B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row>
    <row r="406" ht="15.75" customHeight="1">
      <c r="A406" s="4"/>
      <c r="B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row>
    <row r="407" ht="15.75" customHeight="1">
      <c r="A407" s="4"/>
      <c r="B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row>
    <row r="408" ht="15.75" customHeight="1">
      <c r="A408" s="4"/>
      <c r="B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row>
    <row r="409" ht="15.75" customHeight="1">
      <c r="A409" s="4"/>
      <c r="B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row>
    <row r="410" ht="15.75" customHeight="1">
      <c r="A410" s="4"/>
      <c r="B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row>
    <row r="411" ht="15.75" customHeight="1">
      <c r="A411" s="4"/>
      <c r="B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row>
    <row r="412" ht="15.75" customHeight="1">
      <c r="A412" s="4"/>
      <c r="B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row>
    <row r="413" ht="15.75" customHeight="1">
      <c r="A413" s="4"/>
      <c r="B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row>
    <row r="414" ht="15.75" customHeight="1">
      <c r="A414" s="4"/>
      <c r="B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row>
    <row r="415" ht="15.75" customHeight="1">
      <c r="A415" s="4"/>
      <c r="B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row>
    <row r="416" ht="15.75" customHeight="1">
      <c r="A416" s="4"/>
      <c r="B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row>
    <row r="417" ht="15.75" customHeight="1">
      <c r="A417" s="4"/>
      <c r="B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row>
    <row r="418" ht="15.75" customHeight="1">
      <c r="A418" s="4"/>
      <c r="B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row>
    <row r="419" ht="15.75" customHeight="1">
      <c r="A419" s="4"/>
      <c r="B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row>
    <row r="420" ht="15.75" customHeight="1">
      <c r="A420" s="4"/>
      <c r="B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row>
    <row r="421" ht="15.75" customHeight="1">
      <c r="A421" s="4"/>
      <c r="B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row>
    <row r="422" ht="15.75" customHeight="1">
      <c r="A422" s="4"/>
      <c r="B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row>
    <row r="423" ht="15.75" customHeight="1">
      <c r="A423" s="4"/>
      <c r="B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row>
    <row r="424" ht="15.75" customHeight="1">
      <c r="A424" s="4"/>
      <c r="B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row>
    <row r="425" ht="15.75" customHeight="1">
      <c r="A425" s="4"/>
      <c r="B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row>
    <row r="426" ht="15.75" customHeight="1">
      <c r="A426" s="4"/>
      <c r="B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row>
    <row r="427" ht="15.75" customHeight="1">
      <c r="A427" s="4"/>
      <c r="B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row>
    <row r="428" ht="15.75" customHeight="1">
      <c r="A428" s="4"/>
      <c r="B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row>
    <row r="429" ht="15.75" customHeight="1">
      <c r="A429" s="4"/>
      <c r="B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row>
    <row r="430" ht="15.75" customHeight="1">
      <c r="A430" s="4"/>
      <c r="B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row>
    <row r="431" ht="15.75" customHeight="1">
      <c r="A431" s="4"/>
      <c r="B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row>
    <row r="432" ht="15.75" customHeight="1">
      <c r="A432" s="4"/>
      <c r="B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row>
    <row r="433" ht="15.75" customHeight="1">
      <c r="A433" s="4"/>
      <c r="B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row>
    <row r="434" ht="15.75" customHeight="1">
      <c r="A434" s="4"/>
      <c r="B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row>
    <row r="435" ht="15.75" customHeight="1">
      <c r="A435" s="4"/>
      <c r="B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row>
    <row r="436" ht="15.75" customHeight="1">
      <c r="A436" s="4"/>
      <c r="B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row>
    <row r="437" ht="15.75" customHeight="1">
      <c r="A437" s="4"/>
      <c r="B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row>
    <row r="438" ht="15.75" customHeight="1">
      <c r="A438" s="4"/>
      <c r="B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row>
    <row r="439" ht="15.75" customHeight="1">
      <c r="A439" s="4"/>
      <c r="B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row>
    <row r="440" ht="15.75" customHeight="1">
      <c r="A440" s="4"/>
      <c r="B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row>
    <row r="441" ht="15.75" customHeight="1">
      <c r="A441" s="4"/>
      <c r="B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row>
    <row r="442" ht="15.75" customHeight="1">
      <c r="A442" s="4"/>
      <c r="B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row>
    <row r="443" ht="15.75" customHeight="1">
      <c r="A443" s="4"/>
      <c r="B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row>
    <row r="444" ht="15.75" customHeight="1">
      <c r="A444" s="4"/>
      <c r="B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row>
    <row r="445" ht="15.75" customHeight="1">
      <c r="A445" s="4"/>
      <c r="B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row>
    <row r="446" ht="15.75" customHeight="1">
      <c r="A446" s="4"/>
      <c r="B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row>
    <row r="447" ht="15.75" customHeight="1">
      <c r="A447" s="4"/>
      <c r="B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row>
    <row r="448" ht="15.75" customHeight="1">
      <c r="A448" s="4"/>
      <c r="B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row>
    <row r="449" ht="15.75" customHeight="1">
      <c r="A449" s="4"/>
      <c r="B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row>
    <row r="450" ht="15.75" customHeight="1">
      <c r="A450" s="4"/>
      <c r="B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row>
    <row r="451" ht="15.75" customHeight="1">
      <c r="A451" s="4"/>
      <c r="B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row>
    <row r="452" ht="15.75" customHeight="1">
      <c r="A452" s="4"/>
      <c r="B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row>
    <row r="453" ht="15.75" customHeight="1">
      <c r="A453" s="4"/>
      <c r="B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row>
    <row r="454" ht="15.75" customHeight="1">
      <c r="A454" s="4"/>
      <c r="B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row>
    <row r="455" ht="15.75" customHeight="1">
      <c r="A455" s="4"/>
      <c r="B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row>
    <row r="456" ht="15.75" customHeight="1">
      <c r="A456" s="4"/>
      <c r="B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row>
    <row r="457" ht="15.75" customHeight="1">
      <c r="A457" s="4"/>
      <c r="B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row>
    <row r="458" ht="15.75" customHeight="1">
      <c r="A458" s="4"/>
      <c r="B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row>
    <row r="459" ht="15.75" customHeight="1">
      <c r="A459" s="4"/>
      <c r="B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row>
    <row r="460" ht="15.75" customHeight="1">
      <c r="A460" s="4"/>
      <c r="B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row>
    <row r="461" ht="15.75" customHeight="1">
      <c r="A461" s="4"/>
      <c r="B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row>
    <row r="462" ht="15.75" customHeight="1">
      <c r="A462" s="4"/>
      <c r="B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row>
    <row r="463" ht="15.75" customHeight="1">
      <c r="A463" s="4"/>
      <c r="B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row>
    <row r="464" ht="15.75" customHeight="1">
      <c r="A464" s="4"/>
      <c r="B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row>
    <row r="465" ht="15.75" customHeight="1">
      <c r="A465" s="4"/>
      <c r="B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row>
    <row r="466" ht="15.75" customHeight="1">
      <c r="A466" s="4"/>
      <c r="B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row>
    <row r="467" ht="15.75" customHeight="1">
      <c r="A467" s="4"/>
      <c r="B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row>
    <row r="468" ht="15.75" customHeight="1">
      <c r="A468" s="4"/>
      <c r="B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row>
    <row r="469" ht="15.75" customHeight="1">
      <c r="A469" s="4"/>
      <c r="B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row>
    <row r="470" ht="15.75" customHeight="1">
      <c r="A470" s="4"/>
      <c r="B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row>
    <row r="471" ht="15.75" customHeight="1">
      <c r="A471" s="4"/>
      <c r="B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row>
    <row r="472" ht="15.75" customHeight="1">
      <c r="A472" s="4"/>
      <c r="B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row>
    <row r="473" ht="15.75" customHeight="1">
      <c r="A473" s="4"/>
      <c r="B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row>
    <row r="474" ht="15.75" customHeight="1">
      <c r="A474" s="4"/>
      <c r="B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row>
    <row r="475" ht="15.75" customHeight="1">
      <c r="A475" s="4"/>
      <c r="B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row>
    <row r="476" ht="15.75" customHeight="1">
      <c r="A476" s="4"/>
      <c r="B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row>
    <row r="477" ht="15.75" customHeight="1">
      <c r="A477" s="4"/>
      <c r="B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row>
    <row r="478" ht="15.75" customHeight="1">
      <c r="A478" s="4"/>
      <c r="B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row>
    <row r="479" ht="15.75" customHeight="1">
      <c r="A479" s="4"/>
      <c r="B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row>
    <row r="480" ht="15.75" customHeight="1">
      <c r="A480" s="4"/>
      <c r="B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row>
    <row r="481" ht="15.75" customHeight="1">
      <c r="A481" s="4"/>
      <c r="B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row>
    <row r="482" ht="15.75" customHeight="1">
      <c r="A482" s="4"/>
      <c r="B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row>
    <row r="483" ht="15.75" customHeight="1">
      <c r="A483" s="4"/>
      <c r="B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row>
    <row r="484" ht="15.75" customHeight="1">
      <c r="A484" s="4"/>
      <c r="B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row>
    <row r="485" ht="15.75" customHeight="1">
      <c r="A485" s="4"/>
      <c r="B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row>
    <row r="486" ht="15.75" customHeight="1">
      <c r="A486" s="4"/>
      <c r="B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row>
    <row r="487" ht="15.75" customHeight="1">
      <c r="A487" s="4"/>
      <c r="B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row>
    <row r="488" ht="15.75" customHeight="1">
      <c r="A488" s="4"/>
      <c r="B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row>
    <row r="489" ht="15.75" customHeight="1">
      <c r="A489" s="4"/>
      <c r="B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row>
    <row r="490" ht="15.75" customHeight="1">
      <c r="A490" s="4"/>
      <c r="B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row>
    <row r="491" ht="15.75" customHeight="1">
      <c r="A491" s="4"/>
      <c r="B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row>
    <row r="492" ht="15.75" customHeight="1">
      <c r="A492" s="4"/>
      <c r="B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row>
    <row r="493" ht="15.75" customHeight="1">
      <c r="A493" s="4"/>
      <c r="B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row>
    <row r="494" ht="15.75" customHeight="1">
      <c r="A494" s="4"/>
      <c r="B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row>
    <row r="495" ht="15.75" customHeight="1">
      <c r="A495" s="4"/>
      <c r="B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row>
    <row r="496" ht="15.75" customHeight="1">
      <c r="A496" s="4"/>
      <c r="B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row>
    <row r="497" ht="15.75" customHeight="1">
      <c r="A497" s="4"/>
      <c r="B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row>
    <row r="498" ht="15.75" customHeight="1">
      <c r="A498" s="4"/>
      <c r="B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row>
    <row r="499" ht="15.75" customHeight="1">
      <c r="A499" s="4"/>
      <c r="B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row>
    <row r="500" ht="15.75" customHeight="1">
      <c r="A500" s="4"/>
      <c r="B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row>
    <row r="501" ht="15.75" customHeight="1">
      <c r="A501" s="4"/>
      <c r="B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row>
    <row r="502" ht="15.75" customHeight="1">
      <c r="A502" s="4"/>
      <c r="B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row>
    <row r="503" ht="15.75" customHeight="1">
      <c r="A503" s="4"/>
      <c r="B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row>
    <row r="504" ht="15.75" customHeight="1">
      <c r="A504" s="4"/>
      <c r="B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row>
    <row r="505" ht="15.75" customHeight="1">
      <c r="A505" s="4"/>
      <c r="B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row>
    <row r="506" ht="15.75" customHeight="1">
      <c r="A506" s="4"/>
      <c r="B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row>
    <row r="507" ht="15.75" customHeight="1">
      <c r="A507" s="4"/>
      <c r="B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row>
    <row r="508" ht="15.75" customHeight="1">
      <c r="A508" s="4"/>
      <c r="B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row>
    <row r="509" ht="15.75" customHeight="1">
      <c r="A509" s="4"/>
      <c r="B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row>
    <row r="510" ht="15.75" customHeight="1">
      <c r="A510" s="4"/>
      <c r="B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row>
    <row r="511" ht="15.75" customHeight="1">
      <c r="A511" s="4"/>
      <c r="B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row>
    <row r="512" ht="15.75" customHeight="1">
      <c r="A512" s="4"/>
      <c r="B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row>
    <row r="513" ht="15.75" customHeight="1">
      <c r="A513" s="4"/>
      <c r="B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row>
    <row r="514" ht="15.75" customHeight="1">
      <c r="A514" s="4"/>
      <c r="B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row>
    <row r="515" ht="15.75" customHeight="1">
      <c r="A515" s="4"/>
      <c r="B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row>
    <row r="516" ht="15.75" customHeight="1">
      <c r="A516" s="4"/>
      <c r="B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row>
    <row r="517" ht="15.75" customHeight="1">
      <c r="A517" s="4"/>
      <c r="B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row>
    <row r="518" ht="15.75" customHeight="1">
      <c r="A518" s="4"/>
      <c r="B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row>
    <row r="519" ht="15.75" customHeight="1">
      <c r="A519" s="4"/>
      <c r="B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row>
    <row r="520" ht="15.75" customHeight="1">
      <c r="A520" s="4"/>
      <c r="B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row>
    <row r="521" ht="15.75" customHeight="1">
      <c r="A521" s="4"/>
      <c r="B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row>
    <row r="522" ht="15.75" customHeight="1">
      <c r="A522" s="4"/>
      <c r="B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row>
    <row r="523" ht="15.75" customHeight="1">
      <c r="A523" s="4"/>
      <c r="B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row>
    <row r="524" ht="15.75" customHeight="1">
      <c r="A524" s="4"/>
      <c r="B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row>
    <row r="525" ht="15.75" customHeight="1">
      <c r="A525" s="4"/>
      <c r="B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row>
    <row r="526" ht="15.75" customHeight="1">
      <c r="A526" s="4"/>
      <c r="B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row>
    <row r="527" ht="15.75" customHeight="1">
      <c r="A527" s="4"/>
      <c r="B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row>
    <row r="528" ht="15.75" customHeight="1">
      <c r="A528" s="4"/>
      <c r="B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row>
    <row r="529" ht="15.75" customHeight="1">
      <c r="A529" s="4"/>
      <c r="B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row>
    <row r="530" ht="15.75" customHeight="1">
      <c r="A530" s="4"/>
      <c r="B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row>
    <row r="531" ht="15.75" customHeight="1">
      <c r="A531" s="4"/>
      <c r="B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row>
    <row r="532" ht="15.75" customHeight="1">
      <c r="A532" s="4"/>
      <c r="B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row>
    <row r="533" ht="15.75" customHeight="1">
      <c r="A533" s="4"/>
      <c r="B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row>
    <row r="534" ht="15.75" customHeight="1">
      <c r="A534" s="4"/>
      <c r="B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row>
    <row r="535" ht="15.75" customHeight="1">
      <c r="A535" s="4"/>
      <c r="B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row>
    <row r="536" ht="15.75" customHeight="1">
      <c r="A536" s="4"/>
      <c r="B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row>
    <row r="537" ht="15.75" customHeight="1">
      <c r="A537" s="4"/>
      <c r="B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row>
    <row r="538" ht="15.75" customHeight="1">
      <c r="A538" s="4"/>
      <c r="B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row>
    <row r="539" ht="15.75" customHeight="1">
      <c r="A539" s="4"/>
      <c r="B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row>
    <row r="540" ht="15.75" customHeight="1">
      <c r="A540" s="4"/>
      <c r="B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row>
    <row r="541" ht="15.75" customHeight="1">
      <c r="A541" s="4"/>
      <c r="B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row>
    <row r="542" ht="15.75" customHeight="1">
      <c r="A542" s="4"/>
      <c r="B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row>
    <row r="543" ht="15.75" customHeight="1">
      <c r="A543" s="4"/>
      <c r="B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row>
    <row r="544" ht="15.75" customHeight="1">
      <c r="A544" s="4"/>
      <c r="B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row>
    <row r="545" ht="15.75" customHeight="1">
      <c r="A545" s="4"/>
      <c r="B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row>
    <row r="546" ht="15.75" customHeight="1">
      <c r="A546" s="4"/>
      <c r="B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row>
    <row r="547" ht="15.75" customHeight="1">
      <c r="A547" s="4"/>
      <c r="B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row>
    <row r="548" ht="15.75" customHeight="1">
      <c r="A548" s="4"/>
      <c r="B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row>
    <row r="549" ht="15.75" customHeight="1">
      <c r="A549" s="4"/>
      <c r="B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row>
    <row r="550" ht="15.75" customHeight="1">
      <c r="A550" s="4"/>
      <c r="B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row>
    <row r="551" ht="15.75" customHeight="1">
      <c r="A551" s="4"/>
      <c r="B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row>
    <row r="552" ht="15.75" customHeight="1">
      <c r="A552" s="4"/>
      <c r="B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row>
    <row r="553" ht="15.75" customHeight="1">
      <c r="A553" s="4"/>
      <c r="B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row>
    <row r="554" ht="15.75" customHeight="1">
      <c r="A554" s="4"/>
      <c r="B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row>
    <row r="555" ht="15.75" customHeight="1">
      <c r="A555" s="4"/>
      <c r="B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row>
    <row r="556" ht="15.75" customHeight="1">
      <c r="A556" s="4"/>
      <c r="B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row>
    <row r="557" ht="15.75" customHeight="1">
      <c r="A557" s="4"/>
      <c r="B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row>
    <row r="558" ht="15.75" customHeight="1">
      <c r="A558" s="4"/>
      <c r="B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row>
    <row r="559" ht="15.75" customHeight="1">
      <c r="A559" s="4"/>
      <c r="B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row>
    <row r="560" ht="15.75" customHeight="1">
      <c r="A560" s="4"/>
      <c r="B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row>
    <row r="561" ht="15.75" customHeight="1">
      <c r="A561" s="4"/>
      <c r="B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row>
    <row r="562" ht="15.75" customHeight="1">
      <c r="A562" s="4"/>
      <c r="B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row>
    <row r="563" ht="15.75" customHeight="1">
      <c r="A563" s="4"/>
      <c r="B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row>
    <row r="564" ht="15.75" customHeight="1">
      <c r="A564" s="4"/>
      <c r="B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row>
    <row r="565" ht="15.75" customHeight="1">
      <c r="A565" s="4"/>
      <c r="B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row>
    <row r="566" ht="15.75" customHeight="1">
      <c r="A566" s="4"/>
      <c r="B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row>
    <row r="567" ht="15.75" customHeight="1">
      <c r="A567" s="4"/>
      <c r="B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row>
    <row r="568" ht="15.75" customHeight="1">
      <c r="A568" s="4"/>
      <c r="B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row>
    <row r="569" ht="15.75" customHeight="1">
      <c r="A569" s="4"/>
      <c r="B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row>
    <row r="570" ht="15.75" customHeight="1">
      <c r="A570" s="4"/>
      <c r="B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row>
    <row r="571" ht="15.75" customHeight="1">
      <c r="A571" s="4"/>
      <c r="B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row>
    <row r="572" ht="15.75" customHeight="1">
      <c r="A572" s="4"/>
      <c r="B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row>
    <row r="573" ht="15.75" customHeight="1">
      <c r="A573" s="4"/>
      <c r="B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row>
    <row r="574" ht="15.75" customHeight="1">
      <c r="A574" s="4"/>
      <c r="B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row>
    <row r="575" ht="15.75" customHeight="1">
      <c r="A575" s="4"/>
      <c r="B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row>
    <row r="576" ht="15.75" customHeight="1">
      <c r="A576" s="4"/>
      <c r="B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row>
    <row r="577" ht="15.75" customHeight="1">
      <c r="A577" s="4"/>
      <c r="B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row>
    <row r="578" ht="15.75" customHeight="1">
      <c r="A578" s="4"/>
      <c r="B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row>
    <row r="579" ht="15.75" customHeight="1">
      <c r="A579" s="4"/>
      <c r="B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row>
    <row r="580" ht="15.75" customHeight="1">
      <c r="A580" s="4"/>
      <c r="B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row>
    <row r="581" ht="15.75" customHeight="1">
      <c r="A581" s="4"/>
      <c r="B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row>
    <row r="582" ht="15.75" customHeight="1">
      <c r="A582" s="4"/>
      <c r="B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row>
    <row r="583" ht="15.75" customHeight="1">
      <c r="A583" s="4"/>
      <c r="B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row>
    <row r="584" ht="15.75" customHeight="1">
      <c r="A584" s="4"/>
      <c r="B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row>
    <row r="585" ht="15.75" customHeight="1">
      <c r="A585" s="4"/>
      <c r="B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row>
    <row r="586" ht="15.75" customHeight="1">
      <c r="A586" s="4"/>
      <c r="B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row>
    <row r="587" ht="15.75" customHeight="1">
      <c r="A587" s="4"/>
      <c r="B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row>
    <row r="588" ht="15.75" customHeight="1">
      <c r="A588" s="4"/>
      <c r="B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row>
    <row r="589" ht="15.75" customHeight="1">
      <c r="A589" s="4"/>
      <c r="B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row>
    <row r="590" ht="15.75" customHeight="1">
      <c r="A590" s="4"/>
      <c r="B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row>
    <row r="591" ht="15.75" customHeight="1">
      <c r="A591" s="4"/>
      <c r="B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row>
    <row r="592" ht="15.75" customHeight="1">
      <c r="A592" s="4"/>
      <c r="B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row>
    <row r="593" ht="15.75" customHeight="1">
      <c r="A593" s="4"/>
      <c r="B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row>
    <row r="594" ht="15.75" customHeight="1">
      <c r="A594" s="4"/>
      <c r="B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row>
    <row r="595" ht="15.75" customHeight="1">
      <c r="A595" s="4"/>
      <c r="B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row>
    <row r="596" ht="15.75" customHeight="1">
      <c r="A596" s="4"/>
      <c r="B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row>
    <row r="597" ht="15.75" customHeight="1">
      <c r="A597" s="4"/>
      <c r="B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row>
    <row r="598" ht="15.75" customHeight="1">
      <c r="A598" s="4"/>
      <c r="B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row>
    <row r="599" ht="15.75" customHeight="1">
      <c r="A599" s="4"/>
      <c r="B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row>
    <row r="600" ht="15.75" customHeight="1">
      <c r="A600" s="4"/>
      <c r="B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row>
    <row r="601" ht="15.75" customHeight="1">
      <c r="A601" s="4"/>
      <c r="B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row>
    <row r="602" ht="15.75" customHeight="1">
      <c r="A602" s="4"/>
      <c r="B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row>
    <row r="603" ht="15.75" customHeight="1">
      <c r="A603" s="4"/>
      <c r="B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row>
    <row r="604" ht="15.75" customHeight="1">
      <c r="A604" s="4"/>
      <c r="B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row>
    <row r="605" ht="15.75" customHeight="1">
      <c r="A605" s="4"/>
      <c r="B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row>
    <row r="606" ht="15.75" customHeight="1">
      <c r="A606" s="4"/>
      <c r="B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row>
    <row r="607" ht="15.75" customHeight="1">
      <c r="A607" s="4"/>
      <c r="B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row>
    <row r="608" ht="15.75" customHeight="1">
      <c r="A608" s="4"/>
      <c r="B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row>
    <row r="609" ht="15.75" customHeight="1">
      <c r="A609" s="4"/>
      <c r="B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row>
    <row r="610" ht="15.75" customHeight="1">
      <c r="A610" s="4"/>
      <c r="B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row>
    <row r="611" ht="15.75" customHeight="1">
      <c r="A611" s="4"/>
      <c r="B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row>
    <row r="612" ht="15.75" customHeight="1">
      <c r="A612" s="4"/>
      <c r="B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row>
    <row r="613" ht="15.75" customHeight="1">
      <c r="A613" s="4"/>
      <c r="B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row>
    <row r="614" ht="15.75" customHeight="1">
      <c r="A614" s="4"/>
      <c r="B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row>
    <row r="615" ht="15.75" customHeight="1">
      <c r="A615" s="4"/>
      <c r="B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row>
    <row r="616" ht="15.75" customHeight="1">
      <c r="A616" s="4"/>
      <c r="B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row>
    <row r="617" ht="15.75" customHeight="1">
      <c r="A617" s="4"/>
      <c r="B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row>
    <row r="618" ht="15.75" customHeight="1">
      <c r="A618" s="4"/>
      <c r="B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row>
    <row r="619" ht="15.75" customHeight="1">
      <c r="A619" s="4"/>
      <c r="B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row>
    <row r="620" ht="15.75" customHeight="1">
      <c r="A620" s="4"/>
      <c r="B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row>
    <row r="621" ht="15.75" customHeight="1">
      <c r="A621" s="4"/>
      <c r="B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row>
    <row r="622" ht="15.75" customHeight="1">
      <c r="A622" s="4"/>
      <c r="B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row>
    <row r="623" ht="15.75" customHeight="1">
      <c r="A623" s="4"/>
      <c r="B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row>
    <row r="624" ht="15.75" customHeight="1">
      <c r="A624" s="4"/>
      <c r="B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row>
    <row r="625" ht="15.75" customHeight="1">
      <c r="A625" s="4"/>
      <c r="B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row>
    <row r="626" ht="15.75" customHeight="1">
      <c r="A626" s="4"/>
      <c r="B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row>
    <row r="627" ht="15.75" customHeight="1">
      <c r="A627" s="4"/>
      <c r="B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row>
    <row r="628" ht="15.75" customHeight="1">
      <c r="A628" s="4"/>
      <c r="B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row>
    <row r="629" ht="15.75" customHeight="1">
      <c r="A629" s="4"/>
      <c r="B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row>
    <row r="630" ht="15.75" customHeight="1">
      <c r="A630" s="4"/>
      <c r="B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row>
    <row r="631" ht="15.75" customHeight="1">
      <c r="A631" s="4"/>
      <c r="B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row>
    <row r="632" ht="15.75" customHeight="1">
      <c r="A632" s="4"/>
      <c r="B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row>
    <row r="633" ht="15.75" customHeight="1">
      <c r="A633" s="4"/>
      <c r="B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row>
    <row r="634" ht="15.75" customHeight="1">
      <c r="A634" s="4"/>
      <c r="B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row>
    <row r="635" ht="15.75" customHeight="1">
      <c r="A635" s="4"/>
      <c r="B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row>
    <row r="636" ht="15.75" customHeight="1">
      <c r="A636" s="4"/>
      <c r="B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row>
    <row r="637" ht="15.75" customHeight="1">
      <c r="A637" s="4"/>
      <c r="B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row>
    <row r="638" ht="15.75" customHeight="1">
      <c r="A638" s="4"/>
      <c r="B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row>
    <row r="639" ht="15.75" customHeight="1">
      <c r="A639" s="4"/>
      <c r="B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row>
    <row r="640" ht="15.75" customHeight="1">
      <c r="A640" s="4"/>
      <c r="B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row>
    <row r="641" ht="15.75" customHeight="1">
      <c r="A641" s="4"/>
      <c r="B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row>
    <row r="642" ht="15.75" customHeight="1">
      <c r="A642" s="4"/>
      <c r="B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row>
    <row r="643" ht="15.75" customHeight="1">
      <c r="A643" s="4"/>
      <c r="B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row>
    <row r="644" ht="15.75" customHeight="1">
      <c r="A644" s="4"/>
      <c r="B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row>
    <row r="645" ht="15.75" customHeight="1">
      <c r="A645" s="4"/>
      <c r="B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row>
    <row r="646" ht="15.75" customHeight="1">
      <c r="A646" s="4"/>
      <c r="B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row>
    <row r="647" ht="15.75" customHeight="1">
      <c r="A647" s="4"/>
      <c r="B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row>
    <row r="648" ht="15.75" customHeight="1">
      <c r="A648" s="4"/>
      <c r="B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row>
    <row r="649" ht="15.75" customHeight="1">
      <c r="A649" s="4"/>
      <c r="B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row>
    <row r="650" ht="15.75" customHeight="1">
      <c r="A650" s="4"/>
      <c r="B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row>
    <row r="651" ht="15.75" customHeight="1">
      <c r="A651" s="4"/>
      <c r="B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row>
    <row r="652" ht="15.75" customHeight="1">
      <c r="A652" s="4"/>
      <c r="B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row>
    <row r="653" ht="15.75" customHeight="1">
      <c r="A653" s="4"/>
      <c r="B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row>
    <row r="654" ht="15.75" customHeight="1">
      <c r="A654" s="4"/>
      <c r="B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row>
    <row r="655" ht="15.75" customHeight="1">
      <c r="A655" s="4"/>
      <c r="B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row>
    <row r="656" ht="15.75" customHeight="1">
      <c r="A656" s="4"/>
      <c r="B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row>
    <row r="657" ht="15.75" customHeight="1">
      <c r="A657" s="4"/>
      <c r="B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row>
    <row r="658" ht="15.75" customHeight="1">
      <c r="A658" s="4"/>
      <c r="B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row>
    <row r="659" ht="15.75" customHeight="1">
      <c r="A659" s="4"/>
      <c r="B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row>
    <row r="660" ht="15.75" customHeight="1">
      <c r="A660" s="4"/>
      <c r="B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row>
    <row r="661" ht="15.75" customHeight="1">
      <c r="A661" s="4"/>
      <c r="B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row>
    <row r="662" ht="15.75" customHeight="1">
      <c r="A662" s="4"/>
      <c r="B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row>
    <row r="663" ht="15.75" customHeight="1">
      <c r="A663" s="4"/>
      <c r="B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row>
    <row r="664" ht="15.75" customHeight="1">
      <c r="A664" s="4"/>
      <c r="B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row>
    <row r="665" ht="15.75" customHeight="1">
      <c r="A665" s="4"/>
      <c r="B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row>
    <row r="666" ht="15.75" customHeight="1">
      <c r="A666" s="4"/>
      <c r="B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row>
    <row r="667" ht="15.75" customHeight="1">
      <c r="A667" s="4"/>
      <c r="B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row>
    <row r="668" ht="15.75" customHeight="1">
      <c r="A668" s="4"/>
      <c r="B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row>
    <row r="669" ht="15.75" customHeight="1">
      <c r="A669" s="4"/>
      <c r="B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row>
    <row r="670" ht="15.75" customHeight="1">
      <c r="A670" s="4"/>
      <c r="B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row>
    <row r="671" ht="15.75" customHeight="1">
      <c r="A671" s="4"/>
      <c r="B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row>
    <row r="672" ht="15.75" customHeight="1">
      <c r="A672" s="4"/>
      <c r="B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row>
    <row r="673" ht="15.75" customHeight="1">
      <c r="A673" s="4"/>
      <c r="B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row>
    <row r="674" ht="15.75" customHeight="1">
      <c r="A674" s="4"/>
      <c r="B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row>
    <row r="675" ht="15.75" customHeight="1">
      <c r="A675" s="4"/>
      <c r="B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row>
    <row r="676" ht="15.75" customHeight="1">
      <c r="A676" s="4"/>
      <c r="B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row>
    <row r="677" ht="15.75" customHeight="1">
      <c r="A677" s="4"/>
      <c r="B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row>
    <row r="678" ht="15.75" customHeight="1">
      <c r="A678" s="4"/>
      <c r="B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row>
    <row r="679" ht="15.75" customHeight="1">
      <c r="A679" s="4"/>
      <c r="B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row>
    <row r="680" ht="15.75" customHeight="1">
      <c r="A680" s="4"/>
      <c r="B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row>
    <row r="681" ht="15.75" customHeight="1">
      <c r="A681" s="4"/>
      <c r="B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row>
    <row r="682" ht="15.75" customHeight="1">
      <c r="A682" s="4"/>
      <c r="B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row>
    <row r="683" ht="15.75" customHeight="1">
      <c r="A683" s="4"/>
      <c r="B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row>
    <row r="684" ht="15.75" customHeight="1">
      <c r="A684" s="4"/>
      <c r="B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row>
    <row r="685" ht="15.75" customHeight="1">
      <c r="A685" s="4"/>
      <c r="B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row>
    <row r="686" ht="15.75" customHeight="1">
      <c r="A686" s="4"/>
      <c r="B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row>
    <row r="687" ht="15.75" customHeight="1">
      <c r="A687" s="4"/>
      <c r="B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row>
    <row r="688" ht="15.75" customHeight="1">
      <c r="A688" s="4"/>
      <c r="B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row>
    <row r="689" ht="15.75" customHeight="1">
      <c r="A689" s="4"/>
      <c r="B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row>
    <row r="690" ht="15.75" customHeight="1">
      <c r="A690" s="4"/>
      <c r="B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row>
    <row r="691" ht="15.75" customHeight="1">
      <c r="A691" s="4"/>
      <c r="B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row>
    <row r="692" ht="15.75" customHeight="1">
      <c r="A692" s="4"/>
      <c r="B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row>
    <row r="693" ht="15.75" customHeight="1">
      <c r="A693" s="4"/>
      <c r="B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row>
    <row r="694" ht="15.75" customHeight="1">
      <c r="A694" s="4"/>
      <c r="B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row>
    <row r="695" ht="15.75" customHeight="1">
      <c r="A695" s="4"/>
      <c r="B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row>
    <row r="696" ht="15.75" customHeight="1">
      <c r="A696" s="4"/>
      <c r="B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row>
    <row r="697" ht="15.75" customHeight="1">
      <c r="A697" s="4"/>
      <c r="B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row>
    <row r="698" ht="15.75" customHeight="1">
      <c r="A698" s="4"/>
      <c r="B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row>
    <row r="699" ht="15.75" customHeight="1">
      <c r="A699" s="4"/>
      <c r="B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row>
    <row r="700" ht="15.75" customHeight="1">
      <c r="A700" s="4"/>
      <c r="B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row>
    <row r="701" ht="15.75" customHeight="1">
      <c r="A701" s="4"/>
      <c r="B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row>
    <row r="702" ht="15.75" customHeight="1">
      <c r="A702" s="4"/>
      <c r="B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row>
    <row r="703" ht="15.75" customHeight="1">
      <c r="A703" s="4"/>
      <c r="B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row>
    <row r="704" ht="15.75" customHeight="1">
      <c r="A704" s="4"/>
      <c r="B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row>
    <row r="705" ht="15.75" customHeight="1">
      <c r="A705" s="4"/>
      <c r="B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row>
    <row r="706" ht="15.75" customHeight="1">
      <c r="A706" s="4"/>
      <c r="B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row>
    <row r="707" ht="15.75" customHeight="1">
      <c r="A707" s="4"/>
      <c r="B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row>
    <row r="708" ht="15.75" customHeight="1">
      <c r="A708" s="4"/>
      <c r="B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row>
    <row r="709" ht="15.75" customHeight="1">
      <c r="A709" s="4"/>
      <c r="B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row>
    <row r="710" ht="15.75" customHeight="1">
      <c r="A710" s="4"/>
      <c r="B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row>
    <row r="711" ht="15.75" customHeight="1">
      <c r="A711" s="4"/>
      <c r="B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row>
    <row r="712" ht="15.75" customHeight="1">
      <c r="A712" s="4"/>
      <c r="B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row>
    <row r="713" ht="15.75" customHeight="1">
      <c r="A713" s="4"/>
      <c r="B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row>
    <row r="714" ht="15.75" customHeight="1">
      <c r="A714" s="4"/>
      <c r="B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row>
    <row r="715" ht="15.75" customHeight="1">
      <c r="A715" s="4"/>
      <c r="B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row>
    <row r="716" ht="15.75" customHeight="1">
      <c r="A716" s="4"/>
      <c r="B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row>
    <row r="717" ht="15.75" customHeight="1">
      <c r="A717" s="4"/>
      <c r="B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row>
    <row r="718" ht="15.75" customHeight="1">
      <c r="A718" s="4"/>
      <c r="B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row>
    <row r="719" ht="15.75" customHeight="1">
      <c r="A719" s="4"/>
      <c r="B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row>
    <row r="720" ht="15.75" customHeight="1">
      <c r="A720" s="4"/>
      <c r="B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row>
    <row r="721" ht="15.75" customHeight="1">
      <c r="A721" s="4"/>
      <c r="B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row>
    <row r="722" ht="15.75" customHeight="1">
      <c r="A722" s="4"/>
      <c r="B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row>
    <row r="723" ht="15.75" customHeight="1">
      <c r="A723" s="4"/>
      <c r="B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row>
    <row r="724" ht="15.75" customHeight="1">
      <c r="A724" s="4"/>
      <c r="B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row>
    <row r="725" ht="15.75" customHeight="1">
      <c r="A725" s="4"/>
      <c r="B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row>
    <row r="726" ht="15.75" customHeight="1">
      <c r="A726" s="4"/>
      <c r="B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row>
    <row r="727" ht="15.75" customHeight="1">
      <c r="A727" s="4"/>
      <c r="B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row>
    <row r="728" ht="15.75" customHeight="1">
      <c r="A728" s="4"/>
      <c r="B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row>
    <row r="729" ht="15.75" customHeight="1">
      <c r="A729" s="4"/>
      <c r="B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row>
    <row r="730" ht="15.75" customHeight="1">
      <c r="A730" s="4"/>
      <c r="B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row>
    <row r="731" ht="15.75" customHeight="1">
      <c r="A731" s="4"/>
      <c r="B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row>
    <row r="732" ht="15.75" customHeight="1">
      <c r="A732" s="4"/>
      <c r="B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row>
    <row r="733" ht="15.75" customHeight="1">
      <c r="A733" s="4"/>
      <c r="B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row>
    <row r="734" ht="15.75" customHeight="1">
      <c r="A734" s="4"/>
      <c r="B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row>
    <row r="735" ht="15.75" customHeight="1">
      <c r="A735" s="4"/>
      <c r="B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row>
    <row r="736" ht="15.75" customHeight="1">
      <c r="A736" s="4"/>
      <c r="B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row>
    <row r="737" ht="15.75" customHeight="1">
      <c r="A737" s="4"/>
      <c r="B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row>
    <row r="738" ht="15.75" customHeight="1">
      <c r="A738" s="4"/>
      <c r="B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row>
    <row r="739" ht="15.75" customHeight="1">
      <c r="A739" s="4"/>
      <c r="B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row>
    <row r="740" ht="15.75" customHeight="1">
      <c r="A740" s="4"/>
      <c r="B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row>
    <row r="741" ht="15.75" customHeight="1">
      <c r="A741" s="4"/>
      <c r="B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row>
    <row r="742" ht="15.75" customHeight="1">
      <c r="A742" s="4"/>
      <c r="B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row>
    <row r="743" ht="15.75" customHeight="1">
      <c r="A743" s="4"/>
      <c r="B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row>
    <row r="744" ht="15.75" customHeight="1">
      <c r="A744" s="4"/>
      <c r="B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row>
    <row r="745" ht="15.75" customHeight="1">
      <c r="A745" s="4"/>
      <c r="B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row>
    <row r="746" ht="15.75" customHeight="1">
      <c r="A746" s="4"/>
      <c r="B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row>
    <row r="747" ht="15.75" customHeight="1">
      <c r="A747" s="4"/>
      <c r="B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row>
    <row r="748" ht="15.75" customHeight="1">
      <c r="A748" s="4"/>
      <c r="B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row>
    <row r="749" ht="15.75" customHeight="1">
      <c r="A749" s="4"/>
      <c r="B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row>
    <row r="750" ht="15.75" customHeight="1">
      <c r="A750" s="4"/>
      <c r="B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row>
    <row r="751" ht="15.75" customHeight="1">
      <c r="A751" s="4"/>
      <c r="B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row>
    <row r="752" ht="15.75" customHeight="1">
      <c r="A752" s="4"/>
      <c r="B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row>
    <row r="753" ht="15.75" customHeight="1">
      <c r="A753" s="4"/>
      <c r="B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row>
    <row r="754" ht="15.75" customHeight="1">
      <c r="A754" s="4"/>
      <c r="B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row>
    <row r="755" ht="15.75" customHeight="1">
      <c r="A755" s="4"/>
      <c r="B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row>
    <row r="756" ht="15.75" customHeight="1">
      <c r="A756" s="4"/>
      <c r="B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row>
    <row r="757" ht="15.75" customHeight="1">
      <c r="A757" s="4"/>
      <c r="B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row>
    <row r="758" ht="15.75" customHeight="1">
      <c r="A758" s="4"/>
      <c r="B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row>
    <row r="759" ht="15.75" customHeight="1">
      <c r="A759" s="4"/>
      <c r="B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row>
    <row r="760" ht="15.75" customHeight="1">
      <c r="A760" s="4"/>
      <c r="B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row>
    <row r="761" ht="15.75" customHeight="1">
      <c r="A761" s="4"/>
      <c r="B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row>
    <row r="762" ht="15.75" customHeight="1">
      <c r="A762" s="4"/>
      <c r="B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row>
    <row r="763" ht="15.75" customHeight="1">
      <c r="A763" s="4"/>
      <c r="B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row>
    <row r="764" ht="15.75" customHeight="1">
      <c r="A764" s="4"/>
      <c r="B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row>
    <row r="765" ht="15.75" customHeight="1">
      <c r="A765" s="4"/>
      <c r="B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row>
    <row r="766" ht="15.75" customHeight="1">
      <c r="A766" s="4"/>
      <c r="B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row>
    <row r="767" ht="15.75" customHeight="1">
      <c r="A767" s="4"/>
      <c r="B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row>
    <row r="768" ht="15.75" customHeight="1">
      <c r="A768" s="4"/>
      <c r="B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row>
    <row r="769" ht="15.75" customHeight="1">
      <c r="A769" s="4"/>
      <c r="B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row>
    <row r="770" ht="15.75" customHeight="1">
      <c r="A770" s="4"/>
      <c r="B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row>
    <row r="771" ht="15.75" customHeight="1">
      <c r="A771" s="4"/>
      <c r="B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row>
    <row r="772" ht="15.75" customHeight="1">
      <c r="A772" s="4"/>
      <c r="B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row>
    <row r="773" ht="15.75" customHeight="1">
      <c r="A773" s="4"/>
      <c r="B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row>
    <row r="774" ht="15.75" customHeight="1">
      <c r="A774" s="4"/>
      <c r="B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row>
    <row r="775" ht="15.75" customHeight="1">
      <c r="A775" s="4"/>
      <c r="B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row>
    <row r="776" ht="15.75" customHeight="1">
      <c r="A776" s="4"/>
      <c r="B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row>
    <row r="777" ht="15.75" customHeight="1">
      <c r="A777" s="4"/>
      <c r="B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row>
    <row r="778" ht="15.75" customHeight="1">
      <c r="A778" s="4"/>
      <c r="B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row>
    <row r="779" ht="15.75" customHeight="1">
      <c r="A779" s="4"/>
      <c r="B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row>
    <row r="780" ht="15.75" customHeight="1">
      <c r="A780" s="4"/>
      <c r="B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row>
    <row r="781" ht="15.75" customHeight="1">
      <c r="A781" s="4"/>
      <c r="B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row>
    <row r="782" ht="15.75" customHeight="1">
      <c r="A782" s="4"/>
      <c r="B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row>
    <row r="783" ht="15.75" customHeight="1">
      <c r="A783" s="4"/>
      <c r="B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row>
    <row r="784" ht="15.75" customHeight="1">
      <c r="A784" s="4"/>
      <c r="B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row>
    <row r="785" ht="15.75" customHeight="1">
      <c r="A785" s="4"/>
      <c r="B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row>
    <row r="786" ht="15.75" customHeight="1">
      <c r="A786" s="4"/>
      <c r="B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row>
    <row r="787" ht="15.75" customHeight="1">
      <c r="A787" s="4"/>
      <c r="B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row>
    <row r="788" ht="15.75" customHeight="1">
      <c r="A788" s="4"/>
      <c r="B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row>
    <row r="789" ht="15.75" customHeight="1">
      <c r="A789" s="4"/>
      <c r="B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row>
    <row r="790" ht="15.75" customHeight="1">
      <c r="A790" s="4"/>
      <c r="B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row>
    <row r="791" ht="15.75" customHeight="1">
      <c r="A791" s="4"/>
      <c r="B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row>
    <row r="792" ht="15.75" customHeight="1">
      <c r="A792" s="4"/>
      <c r="B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row>
    <row r="793" ht="15.75" customHeight="1">
      <c r="A793" s="4"/>
      <c r="B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row>
    <row r="794" ht="15.75" customHeight="1">
      <c r="A794" s="4"/>
      <c r="B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row>
    <row r="795" ht="15.75" customHeight="1">
      <c r="A795" s="4"/>
      <c r="B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row>
    <row r="796" ht="15.75" customHeight="1">
      <c r="A796" s="4"/>
      <c r="B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row>
    <row r="797" ht="15.75" customHeight="1">
      <c r="A797" s="4"/>
      <c r="B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row>
    <row r="798" ht="15.75" customHeight="1">
      <c r="A798" s="4"/>
      <c r="B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row>
    <row r="799" ht="15.75" customHeight="1">
      <c r="A799" s="4"/>
      <c r="B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row>
    <row r="800" ht="15.75" customHeight="1">
      <c r="A800" s="4"/>
      <c r="B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row>
    <row r="801" ht="15.75" customHeight="1">
      <c r="A801" s="4"/>
      <c r="B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row>
    <row r="802" ht="15.75" customHeight="1">
      <c r="A802" s="4"/>
      <c r="B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row>
    <row r="803" ht="15.75" customHeight="1">
      <c r="A803" s="4"/>
      <c r="B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row>
    <row r="804" ht="15.75" customHeight="1">
      <c r="A804" s="4"/>
      <c r="B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row>
    <row r="805" ht="15.75" customHeight="1">
      <c r="A805" s="4"/>
      <c r="B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row>
    <row r="806" ht="15.75" customHeight="1">
      <c r="A806" s="4"/>
      <c r="B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row>
    <row r="807" ht="15.75" customHeight="1">
      <c r="A807" s="4"/>
      <c r="B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row>
    <row r="808" ht="15.75" customHeight="1">
      <c r="A808" s="4"/>
      <c r="B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row>
    <row r="809" ht="15.75" customHeight="1">
      <c r="A809" s="4"/>
      <c r="B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row>
    <row r="810" ht="15.75" customHeight="1">
      <c r="A810" s="4"/>
      <c r="B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row>
    <row r="811" ht="15.75" customHeight="1">
      <c r="A811" s="4"/>
      <c r="B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row>
    <row r="812" ht="15.75" customHeight="1">
      <c r="A812" s="4"/>
      <c r="B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row>
    <row r="813" ht="15.75" customHeight="1">
      <c r="A813" s="4"/>
      <c r="B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row>
    <row r="814" ht="15.75" customHeight="1">
      <c r="A814" s="4"/>
      <c r="B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row>
    <row r="815" ht="15.75" customHeight="1">
      <c r="A815" s="4"/>
      <c r="B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row>
    <row r="816" ht="15.75" customHeight="1">
      <c r="A816" s="4"/>
      <c r="B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row>
    <row r="817" ht="15.75" customHeight="1">
      <c r="A817" s="4"/>
      <c r="B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row>
    <row r="818" ht="15.75" customHeight="1">
      <c r="A818" s="4"/>
      <c r="B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row>
    <row r="819" ht="15.75" customHeight="1">
      <c r="A819" s="4"/>
      <c r="B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row>
    <row r="820" ht="15.75" customHeight="1">
      <c r="A820" s="4"/>
      <c r="B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row>
    <row r="821" ht="15.75" customHeight="1">
      <c r="A821" s="4"/>
      <c r="B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row>
    <row r="822" ht="15.75" customHeight="1">
      <c r="A822" s="4"/>
      <c r="B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row>
    <row r="823" ht="15.75" customHeight="1">
      <c r="A823" s="4"/>
      <c r="B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row>
    <row r="824" ht="15.75" customHeight="1">
      <c r="A824" s="4"/>
      <c r="B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row>
    <row r="825" ht="15.75" customHeight="1">
      <c r="A825" s="4"/>
      <c r="B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row>
    <row r="826" ht="15.75" customHeight="1">
      <c r="A826" s="4"/>
      <c r="B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row>
    <row r="827" ht="15.75" customHeight="1">
      <c r="A827" s="4"/>
      <c r="B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row>
    <row r="828" ht="15.75" customHeight="1">
      <c r="A828" s="4"/>
      <c r="B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row>
    <row r="829" ht="15.75" customHeight="1">
      <c r="A829" s="4"/>
      <c r="B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row>
    <row r="830" ht="15.75" customHeight="1">
      <c r="A830" s="4"/>
      <c r="B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row>
    <row r="831" ht="15.75" customHeight="1">
      <c r="A831" s="4"/>
      <c r="B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row>
    <row r="832" ht="15.75" customHeight="1">
      <c r="A832" s="4"/>
      <c r="B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row>
    <row r="833" ht="15.75" customHeight="1">
      <c r="A833" s="4"/>
      <c r="B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row>
    <row r="834" ht="15.75" customHeight="1">
      <c r="A834" s="4"/>
      <c r="B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row>
    <row r="835" ht="15.75" customHeight="1">
      <c r="A835" s="4"/>
      <c r="B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row>
    <row r="836" ht="15.75" customHeight="1">
      <c r="A836" s="4"/>
      <c r="B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row>
    <row r="837" ht="15.75" customHeight="1">
      <c r="A837" s="4"/>
      <c r="B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row>
    <row r="838" ht="15.75" customHeight="1">
      <c r="A838" s="4"/>
      <c r="B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row>
    <row r="839" ht="15.75" customHeight="1">
      <c r="A839" s="4"/>
      <c r="B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row>
    <row r="840" ht="15.75" customHeight="1">
      <c r="A840" s="4"/>
      <c r="B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row>
    <row r="841" ht="15.75" customHeight="1">
      <c r="A841" s="4"/>
      <c r="B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row>
    <row r="842" ht="15.75" customHeight="1">
      <c r="A842" s="4"/>
      <c r="B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row>
    <row r="843" ht="15.75" customHeight="1">
      <c r="A843" s="4"/>
      <c r="B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row>
    <row r="844" ht="15.75" customHeight="1">
      <c r="A844" s="4"/>
      <c r="B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row>
    <row r="845" ht="15.75" customHeight="1">
      <c r="A845" s="4"/>
      <c r="B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row>
    <row r="846" ht="15.75" customHeight="1">
      <c r="A846" s="4"/>
      <c r="B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row>
    <row r="847" ht="15.75" customHeight="1">
      <c r="A847" s="4"/>
      <c r="B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row>
    <row r="848" ht="15.75" customHeight="1">
      <c r="A848" s="4"/>
      <c r="B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row>
    <row r="849" ht="15.75" customHeight="1">
      <c r="A849" s="4"/>
      <c r="B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row>
    <row r="850" ht="15.75" customHeight="1">
      <c r="A850" s="4"/>
      <c r="B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row>
    <row r="851" ht="15.75" customHeight="1">
      <c r="A851" s="4"/>
      <c r="B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row>
    <row r="852" ht="15.75" customHeight="1">
      <c r="A852" s="4"/>
      <c r="B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row>
    <row r="853" ht="15.75" customHeight="1">
      <c r="A853" s="4"/>
      <c r="B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row>
    <row r="854" ht="15.75" customHeight="1">
      <c r="A854" s="4"/>
      <c r="B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row>
    <row r="855" ht="15.75" customHeight="1">
      <c r="A855" s="4"/>
      <c r="B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row>
    <row r="856" ht="15.75" customHeight="1">
      <c r="A856" s="4"/>
      <c r="B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row>
    <row r="857" ht="15.75" customHeight="1">
      <c r="A857" s="4"/>
      <c r="B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row>
    <row r="858" ht="15.75" customHeight="1">
      <c r="A858" s="4"/>
      <c r="B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row>
    <row r="859" ht="15.75" customHeight="1">
      <c r="A859" s="4"/>
      <c r="B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row>
    <row r="860" ht="15.75" customHeight="1">
      <c r="A860" s="4"/>
      <c r="B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row>
    <row r="861" ht="15.75" customHeight="1">
      <c r="A861" s="4"/>
      <c r="B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row>
    <row r="862" ht="15.75" customHeight="1">
      <c r="A862" s="4"/>
      <c r="B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row>
    <row r="863" ht="15.75" customHeight="1">
      <c r="A863" s="4"/>
      <c r="B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row>
    <row r="864" ht="15.75" customHeight="1">
      <c r="A864" s="4"/>
      <c r="B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row>
    <row r="865" ht="15.75" customHeight="1">
      <c r="A865" s="4"/>
      <c r="B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row>
    <row r="866" ht="15.75" customHeight="1">
      <c r="A866" s="4"/>
      <c r="B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row>
    <row r="867" ht="15.75" customHeight="1">
      <c r="A867" s="4"/>
      <c r="B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row>
    <row r="868" ht="15.75" customHeight="1">
      <c r="A868" s="4"/>
      <c r="B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row>
    <row r="869" ht="15.75" customHeight="1">
      <c r="A869" s="4"/>
      <c r="B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row>
    <row r="870" ht="15.75" customHeight="1">
      <c r="A870" s="4"/>
      <c r="B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row>
    <row r="871" ht="15.75" customHeight="1">
      <c r="A871" s="4"/>
      <c r="B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row>
    <row r="872" ht="15.75" customHeight="1">
      <c r="A872" s="4"/>
      <c r="B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row>
    <row r="873" ht="15.75" customHeight="1">
      <c r="A873" s="4"/>
      <c r="B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row>
    <row r="874" ht="15.75" customHeight="1">
      <c r="A874" s="4"/>
      <c r="B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row>
    <row r="875" ht="15.75" customHeight="1">
      <c r="A875" s="4"/>
      <c r="B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row>
    <row r="876" ht="15.75" customHeight="1">
      <c r="A876" s="4"/>
      <c r="B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row>
    <row r="877" ht="15.75" customHeight="1">
      <c r="A877" s="4"/>
      <c r="B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row>
    <row r="878" ht="15.75" customHeight="1">
      <c r="A878" s="4"/>
      <c r="B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row>
    <row r="879" ht="15.75" customHeight="1">
      <c r="A879" s="4"/>
      <c r="B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row>
    <row r="880" ht="15.75" customHeight="1">
      <c r="A880" s="4"/>
      <c r="B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row>
    <row r="881" ht="15.75" customHeight="1">
      <c r="A881" s="4"/>
      <c r="B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row>
    <row r="882" ht="15.75" customHeight="1">
      <c r="A882" s="4"/>
      <c r="B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row>
    <row r="883" ht="15.75" customHeight="1">
      <c r="A883" s="4"/>
      <c r="B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row>
    <row r="884" ht="15.75" customHeight="1">
      <c r="A884" s="4"/>
      <c r="B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row>
    <row r="885" ht="15.75" customHeight="1">
      <c r="A885" s="4"/>
      <c r="B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row>
    <row r="886" ht="15.75" customHeight="1">
      <c r="A886" s="4"/>
      <c r="B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row>
    <row r="887" ht="15.75" customHeight="1">
      <c r="A887" s="4"/>
      <c r="B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row>
    <row r="888" ht="15.75" customHeight="1">
      <c r="A888" s="4"/>
      <c r="B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row>
    <row r="889" ht="15.75" customHeight="1">
      <c r="A889" s="4"/>
      <c r="B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row>
    <row r="890" ht="15.75" customHeight="1">
      <c r="A890" s="4"/>
      <c r="B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row>
    <row r="891" ht="15.75" customHeight="1">
      <c r="A891" s="4"/>
      <c r="B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row>
    <row r="892" ht="15.75" customHeight="1">
      <c r="A892" s="4"/>
      <c r="B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row>
    <row r="893" ht="15.75" customHeight="1">
      <c r="A893" s="4"/>
      <c r="B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row>
    <row r="894" ht="15.75" customHeight="1">
      <c r="A894" s="4"/>
      <c r="B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row>
    <row r="895" ht="15.75" customHeight="1">
      <c r="A895" s="4"/>
      <c r="B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row>
    <row r="896" ht="15.75" customHeight="1">
      <c r="A896" s="4"/>
      <c r="B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row>
    <row r="897" ht="15.75" customHeight="1">
      <c r="A897" s="4"/>
      <c r="B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row>
    <row r="898" ht="15.75" customHeight="1">
      <c r="A898" s="4"/>
      <c r="B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row>
    <row r="899" ht="15.75" customHeight="1">
      <c r="A899" s="4"/>
      <c r="B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row>
    <row r="900" ht="15.75" customHeight="1">
      <c r="A900" s="4"/>
      <c r="B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row>
    <row r="901" ht="15.75" customHeight="1">
      <c r="A901" s="4"/>
      <c r="B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row>
    <row r="902" ht="15.75" customHeight="1">
      <c r="A902" s="4"/>
      <c r="B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row>
    <row r="903" ht="15.75" customHeight="1">
      <c r="A903" s="4"/>
      <c r="B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row>
    <row r="904" ht="15.75" customHeight="1">
      <c r="A904" s="4"/>
      <c r="B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row>
    <row r="905" ht="15.75" customHeight="1">
      <c r="A905" s="4"/>
      <c r="B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row>
    <row r="906" ht="15.75" customHeight="1">
      <c r="A906" s="4"/>
      <c r="B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row>
    <row r="907" ht="15.75" customHeight="1">
      <c r="A907" s="4"/>
      <c r="B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row>
    <row r="908" ht="15.75" customHeight="1">
      <c r="A908" s="4"/>
      <c r="B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row>
    <row r="909" ht="15.75" customHeight="1">
      <c r="A909" s="4"/>
      <c r="B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row>
    <row r="910" ht="15.75" customHeight="1">
      <c r="A910" s="4"/>
      <c r="B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row>
    <row r="911" ht="15.75" customHeight="1">
      <c r="A911" s="4"/>
      <c r="B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row>
    <row r="912" ht="15.75" customHeight="1">
      <c r="A912" s="4"/>
      <c r="B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row>
    <row r="913" ht="15.75" customHeight="1">
      <c r="A913" s="4"/>
      <c r="B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row>
    <row r="914" ht="15.75" customHeight="1">
      <c r="A914" s="4"/>
      <c r="B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row>
    <row r="915" ht="15.75" customHeight="1">
      <c r="A915" s="4"/>
      <c r="B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row>
    <row r="916" ht="15.75" customHeight="1">
      <c r="A916" s="4"/>
      <c r="B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row>
    <row r="917" ht="15.75" customHeight="1">
      <c r="A917" s="4"/>
      <c r="B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row>
    <row r="918" ht="15.75" customHeight="1">
      <c r="A918" s="4"/>
      <c r="B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row>
    <row r="919" ht="15.75" customHeight="1">
      <c r="A919" s="4"/>
      <c r="B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row>
    <row r="920" ht="15.75" customHeight="1">
      <c r="A920" s="4"/>
      <c r="B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row>
    <row r="921" ht="15.75" customHeight="1">
      <c r="A921" s="4"/>
      <c r="B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row>
    <row r="922" ht="15.75" customHeight="1">
      <c r="A922" s="4"/>
      <c r="B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row>
    <row r="923" ht="15.75" customHeight="1">
      <c r="A923" s="4"/>
      <c r="B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row>
    <row r="924" ht="15.75" customHeight="1">
      <c r="A924" s="4"/>
      <c r="B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row>
    <row r="925" ht="15.75" customHeight="1">
      <c r="A925" s="4"/>
      <c r="B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row>
    <row r="926" ht="15.75" customHeight="1">
      <c r="A926" s="4"/>
      <c r="B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row>
    <row r="927" ht="15.75" customHeight="1">
      <c r="A927" s="4"/>
      <c r="B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row>
    <row r="928" ht="15.75" customHeight="1">
      <c r="A928" s="4"/>
      <c r="B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row>
    <row r="929" ht="15.75" customHeight="1">
      <c r="A929" s="4"/>
      <c r="B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row>
    <row r="930" ht="15.75" customHeight="1">
      <c r="A930" s="4"/>
      <c r="B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row>
    <row r="931" ht="15.75" customHeight="1">
      <c r="A931" s="4"/>
      <c r="B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row>
    <row r="932" ht="15.75" customHeight="1">
      <c r="A932" s="4"/>
      <c r="B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row>
    <row r="933" ht="15.75" customHeight="1">
      <c r="A933" s="4"/>
      <c r="B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row>
    <row r="934" ht="15.75" customHeight="1">
      <c r="A934" s="4"/>
      <c r="B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row>
    <row r="935" ht="15.75" customHeight="1">
      <c r="A935" s="4"/>
      <c r="B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row>
    <row r="936" ht="15.75" customHeight="1">
      <c r="A936" s="4"/>
      <c r="B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row>
    <row r="937" ht="15.75" customHeight="1">
      <c r="A937" s="4"/>
      <c r="B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row>
    <row r="938" ht="15.75" customHeight="1">
      <c r="A938" s="4"/>
      <c r="B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row>
    <row r="939" ht="15.75" customHeight="1">
      <c r="A939" s="4"/>
      <c r="B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row>
    <row r="940" ht="15.75" customHeight="1">
      <c r="A940" s="4"/>
      <c r="B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row>
    <row r="941" ht="15.75" customHeight="1">
      <c r="A941" s="4"/>
      <c r="B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row>
    <row r="942" ht="15.75" customHeight="1">
      <c r="A942" s="4"/>
      <c r="B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row>
    <row r="943" ht="15.75" customHeight="1">
      <c r="A943" s="4"/>
      <c r="B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row>
    <row r="944" ht="15.75" customHeight="1">
      <c r="A944" s="4"/>
      <c r="B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row>
    <row r="945" ht="15.75" customHeight="1">
      <c r="A945" s="4"/>
      <c r="B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row>
    <row r="946" ht="15.75" customHeight="1">
      <c r="A946" s="4"/>
      <c r="B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row>
    <row r="947" ht="15.75" customHeight="1">
      <c r="A947" s="4"/>
      <c r="B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row>
    <row r="948" ht="15.75" customHeight="1">
      <c r="A948" s="4"/>
      <c r="B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row>
    <row r="949" ht="15.75" customHeight="1">
      <c r="A949" s="4"/>
      <c r="B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row>
    <row r="950" ht="15.75" customHeight="1">
      <c r="A950" s="4"/>
      <c r="B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row>
    <row r="951" ht="15.75" customHeight="1">
      <c r="A951" s="4"/>
      <c r="B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row>
    <row r="952" ht="15.75" customHeight="1">
      <c r="A952" s="4"/>
      <c r="B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row>
    <row r="953" ht="15.75" customHeight="1">
      <c r="A953" s="4"/>
      <c r="B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row>
    <row r="954" ht="15.75" customHeight="1">
      <c r="A954" s="4"/>
      <c r="B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row>
    <row r="955" ht="15.75" customHeight="1">
      <c r="A955" s="4"/>
      <c r="B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row>
    <row r="956" ht="15.75" customHeight="1">
      <c r="A956" s="4"/>
      <c r="B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row>
    <row r="957" ht="15.75" customHeight="1">
      <c r="A957" s="4"/>
      <c r="B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row>
    <row r="958" ht="15.75" customHeight="1">
      <c r="A958" s="4"/>
      <c r="B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row>
    <row r="959" ht="15.75" customHeight="1">
      <c r="A959" s="4"/>
      <c r="B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row>
    <row r="960" ht="15.75" customHeight="1">
      <c r="A960" s="4"/>
      <c r="B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row>
    <row r="961" ht="15.75" customHeight="1">
      <c r="A961" s="4"/>
      <c r="B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row>
    <row r="962" ht="15.75" customHeight="1">
      <c r="A962" s="4"/>
      <c r="B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row>
    <row r="963" ht="15.75" customHeight="1">
      <c r="A963" s="4"/>
      <c r="B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row>
    <row r="964" ht="15.75" customHeight="1">
      <c r="A964" s="4"/>
      <c r="B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row>
    <row r="965" ht="15.75" customHeight="1">
      <c r="A965" s="4"/>
      <c r="B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row>
    <row r="966" ht="15.75" customHeight="1">
      <c r="A966" s="4"/>
      <c r="B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row>
    <row r="967" ht="15.75" customHeight="1">
      <c r="A967" s="4"/>
      <c r="B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row>
    <row r="968" ht="15.75" customHeight="1">
      <c r="A968" s="4"/>
      <c r="B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row>
    <row r="969" ht="15.75" customHeight="1">
      <c r="A969" s="4"/>
      <c r="B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row>
    <row r="970" ht="15.75" customHeight="1">
      <c r="A970" s="4"/>
      <c r="B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row>
    <row r="971" ht="15.75" customHeight="1">
      <c r="A971" s="4"/>
      <c r="B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row>
    <row r="972" ht="15.75" customHeight="1">
      <c r="A972" s="4"/>
      <c r="B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row>
    <row r="973" ht="15.75" customHeight="1">
      <c r="A973" s="4"/>
      <c r="B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row>
    <row r="974" ht="15.75" customHeight="1">
      <c r="A974" s="4"/>
      <c r="B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row>
    <row r="975" ht="15.75" customHeight="1">
      <c r="A975" s="4"/>
      <c r="B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row>
    <row r="976" ht="15.75" customHeight="1">
      <c r="A976" s="4"/>
      <c r="B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row>
    <row r="977" ht="15.75" customHeight="1">
      <c r="A977" s="4"/>
      <c r="B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row>
    <row r="978" ht="15.75" customHeight="1">
      <c r="A978" s="4"/>
      <c r="B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row>
    <row r="979" ht="15.75" customHeight="1">
      <c r="A979" s="4"/>
      <c r="B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row>
    <row r="980" ht="15.75" customHeight="1">
      <c r="A980" s="4"/>
      <c r="B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row>
    <row r="981" ht="15.75" customHeight="1">
      <c r="A981" s="4"/>
      <c r="B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row>
    <row r="982" ht="15.75" customHeight="1">
      <c r="A982" s="4"/>
      <c r="B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row>
    <row r="983" ht="15.75" customHeight="1">
      <c r="A983" s="4"/>
      <c r="B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row>
    <row r="984" ht="15.75" customHeight="1">
      <c r="A984" s="4"/>
      <c r="B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row>
    <row r="985" ht="15.75" customHeight="1">
      <c r="A985" s="4"/>
      <c r="B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row>
    <row r="986" ht="15.75" customHeight="1">
      <c r="A986" s="4"/>
      <c r="B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row>
    <row r="987" ht="15.75" customHeight="1">
      <c r="A987" s="4"/>
      <c r="B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row>
    <row r="988" ht="15.75" customHeight="1">
      <c r="A988" s="4"/>
      <c r="B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row>
    <row r="989" ht="15.75" customHeight="1">
      <c r="A989" s="4"/>
      <c r="B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row>
    <row r="990" ht="15.75" customHeight="1">
      <c r="A990" s="4"/>
      <c r="B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row>
    <row r="991" ht="15.75" customHeight="1">
      <c r="A991" s="4"/>
      <c r="B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row>
    <row r="992" ht="15.75" customHeight="1">
      <c r="A992" s="4"/>
      <c r="B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row>
    <row r="993" ht="15.75" customHeight="1">
      <c r="A993" s="4"/>
      <c r="B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row>
    <row r="994" ht="15.75" customHeight="1">
      <c r="A994" s="4"/>
      <c r="B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22"/>
      <c r="B1" s="22" t="s">
        <v>368</v>
      </c>
      <c r="C1" s="23" t="s">
        <v>904</v>
      </c>
      <c r="D1" s="22" t="s">
        <v>370</v>
      </c>
      <c r="E1" s="22" t="s">
        <v>905</v>
      </c>
      <c r="F1" s="22" t="s">
        <v>906</v>
      </c>
      <c r="G1" s="22" t="s">
        <v>907</v>
      </c>
      <c r="H1" s="22" t="s">
        <v>908</v>
      </c>
      <c r="I1" s="22" t="s">
        <v>909</v>
      </c>
      <c r="J1" s="22" t="s">
        <v>910</v>
      </c>
      <c r="K1" s="22" t="s">
        <v>911</v>
      </c>
      <c r="L1" s="22" t="s">
        <v>912</v>
      </c>
      <c r="M1" s="22" t="s">
        <v>913</v>
      </c>
      <c r="N1" s="22" t="s">
        <v>914</v>
      </c>
      <c r="O1" s="22" t="s">
        <v>915</v>
      </c>
      <c r="P1" s="22" t="s">
        <v>916</v>
      </c>
      <c r="Q1" s="22" t="s">
        <v>917</v>
      </c>
      <c r="R1" s="22" t="s">
        <v>918</v>
      </c>
      <c r="S1" s="22" t="s">
        <v>919</v>
      </c>
      <c r="T1" s="22" t="s">
        <v>920</v>
      </c>
      <c r="U1" s="22" t="s">
        <v>921</v>
      </c>
      <c r="V1" s="22" t="s">
        <v>922</v>
      </c>
      <c r="W1" s="22" t="s">
        <v>923</v>
      </c>
      <c r="X1" s="22" t="s">
        <v>924</v>
      </c>
      <c r="Y1" s="22" t="s">
        <v>925</v>
      </c>
      <c r="Z1" s="22" t="s">
        <v>926</v>
      </c>
      <c r="AA1" s="22" t="s">
        <v>927</v>
      </c>
      <c r="AB1" s="22" t="s">
        <v>928</v>
      </c>
      <c r="AC1" s="22" t="s">
        <v>929</v>
      </c>
      <c r="AD1" s="22" t="s">
        <v>930</v>
      </c>
      <c r="AE1" s="22" t="s">
        <v>931</v>
      </c>
      <c r="AF1" s="22" t="s">
        <v>932</v>
      </c>
      <c r="AG1" s="22" t="s">
        <v>933</v>
      </c>
      <c r="AH1" s="22" t="s">
        <v>934</v>
      </c>
      <c r="AI1" s="22" t="s">
        <v>935</v>
      </c>
      <c r="AJ1" s="22" t="s">
        <v>936</v>
      </c>
      <c r="AK1" s="22" t="s">
        <v>937</v>
      </c>
      <c r="AL1" s="22" t="s">
        <v>938</v>
      </c>
      <c r="AM1" s="22" t="s">
        <v>939</v>
      </c>
      <c r="AN1" s="22" t="s">
        <v>940</v>
      </c>
      <c r="AO1" s="22" t="s">
        <v>941</v>
      </c>
      <c r="AP1" s="22" t="s">
        <v>942</v>
      </c>
      <c r="AQ1" s="22" t="s">
        <v>943</v>
      </c>
      <c r="AR1" s="22" t="s">
        <v>944</v>
      </c>
      <c r="AS1" s="22" t="s">
        <v>945</v>
      </c>
      <c r="AT1" s="22" t="s">
        <v>946</v>
      </c>
      <c r="AU1" s="22" t="s">
        <v>947</v>
      </c>
      <c r="AV1" s="22" t="s">
        <v>948</v>
      </c>
      <c r="AW1" s="22" t="s">
        <v>949</v>
      </c>
      <c r="AX1" s="22" t="s">
        <v>950</v>
      </c>
      <c r="AY1" s="22" t="s">
        <v>951</v>
      </c>
      <c r="AZ1" s="23" t="s">
        <v>904</v>
      </c>
      <c r="BA1" s="23" t="s">
        <v>952</v>
      </c>
    </row>
    <row r="2" ht="15.75" customHeight="1">
      <c r="A2" s="24"/>
      <c r="B2" s="24">
        <v>12.0</v>
      </c>
      <c r="D2" s="3" t="s">
        <v>953</v>
      </c>
      <c r="E2" s="25">
        <v>46172.42430555556</v>
      </c>
      <c r="F2" s="3" t="s">
        <v>4955</v>
      </c>
      <c r="G2" s="3" t="s">
        <v>4955</v>
      </c>
      <c r="H2" s="3" t="s">
        <v>11</v>
      </c>
      <c r="I2" s="3" t="s">
        <v>11</v>
      </c>
      <c r="J2" s="4"/>
      <c r="K2" s="3" t="s">
        <v>3155</v>
      </c>
      <c r="L2" s="3" t="s">
        <v>4956</v>
      </c>
      <c r="M2" s="26">
        <v>37484.0</v>
      </c>
      <c r="N2" s="3" t="s">
        <v>4957</v>
      </c>
      <c r="O2" s="3" t="s">
        <v>4958</v>
      </c>
      <c r="P2" s="4"/>
      <c r="Q2" s="3" t="s">
        <v>4959</v>
      </c>
      <c r="R2" s="4"/>
      <c r="S2" s="3" t="s">
        <v>1605</v>
      </c>
      <c r="T2" s="3" t="s">
        <v>4960</v>
      </c>
      <c r="U2" s="3" t="s">
        <v>1050</v>
      </c>
      <c r="V2" s="3" t="s">
        <v>4961</v>
      </c>
      <c r="W2" s="3" t="s">
        <v>4962</v>
      </c>
      <c r="X2" s="3" t="s">
        <v>4963</v>
      </c>
      <c r="Y2" s="3" t="s">
        <v>971</v>
      </c>
      <c r="Z2" s="3" t="s">
        <v>4964</v>
      </c>
      <c r="AA2" s="3" t="s">
        <v>971</v>
      </c>
      <c r="AB2" s="4"/>
      <c r="AC2" s="3" t="s">
        <v>4965</v>
      </c>
      <c r="AD2" s="3" t="s">
        <v>4966</v>
      </c>
      <c r="AE2" s="4"/>
      <c r="AF2" s="4"/>
      <c r="AG2" s="4"/>
      <c r="AH2" s="3" t="s">
        <v>971</v>
      </c>
      <c r="AI2" s="4"/>
      <c r="AJ2" s="3" t="s">
        <v>4967</v>
      </c>
      <c r="AK2" s="3" t="s">
        <v>4968</v>
      </c>
      <c r="AL2" s="3" t="s">
        <v>4969</v>
      </c>
      <c r="AM2" s="3" t="s">
        <v>1061</v>
      </c>
      <c r="AN2" s="3" t="s">
        <v>4970</v>
      </c>
      <c r="AO2" s="3" t="s">
        <v>4971</v>
      </c>
      <c r="AP2" s="3" t="s">
        <v>4972</v>
      </c>
      <c r="AQ2" s="3" t="s">
        <v>4973</v>
      </c>
      <c r="AR2" s="3" t="s">
        <v>4974</v>
      </c>
      <c r="AS2" s="3" t="s">
        <v>969</v>
      </c>
      <c r="AT2" s="3" t="s">
        <v>969</v>
      </c>
      <c r="AU2" s="3" t="s">
        <v>1409</v>
      </c>
      <c r="AV2" s="3" t="s">
        <v>4975</v>
      </c>
      <c r="AW2" s="3" t="s">
        <v>4976</v>
      </c>
      <c r="AX2" s="3" t="s">
        <v>969</v>
      </c>
      <c r="AY2" s="27">
        <v>15.99</v>
      </c>
      <c r="AZ2" s="5" t="s">
        <v>9</v>
      </c>
      <c r="BA2" s="5" t="s">
        <v>14</v>
      </c>
    </row>
    <row r="3" ht="15.75" customHeight="1">
      <c r="A3" s="24"/>
      <c r="B3" s="24">
        <v>18.0</v>
      </c>
      <c r="C3" s="21" t="s">
        <v>9</v>
      </c>
      <c r="D3" s="3" t="s">
        <v>953</v>
      </c>
      <c r="E3" s="25">
        <v>46175.33402777778</v>
      </c>
      <c r="F3" s="3" t="s">
        <v>30</v>
      </c>
      <c r="G3" s="3" t="s">
        <v>30</v>
      </c>
      <c r="H3" s="3" t="s">
        <v>453</v>
      </c>
      <c r="I3" s="3" t="s">
        <v>4977</v>
      </c>
      <c r="J3" s="3" t="s">
        <v>4978</v>
      </c>
      <c r="K3" s="3" t="s">
        <v>3137</v>
      </c>
      <c r="L3" s="3" t="s">
        <v>4979</v>
      </c>
      <c r="M3" s="26">
        <v>34245.0</v>
      </c>
      <c r="N3" s="3" t="s">
        <v>4980</v>
      </c>
      <c r="O3" s="3" t="s">
        <v>4981</v>
      </c>
      <c r="P3" s="4"/>
      <c r="Q3" s="3" t="s">
        <v>4982</v>
      </c>
      <c r="R3" s="3" t="s">
        <v>4982</v>
      </c>
      <c r="S3" s="3" t="s">
        <v>4983</v>
      </c>
      <c r="T3" s="3" t="s">
        <v>4984</v>
      </c>
      <c r="U3" s="3" t="s">
        <v>1245</v>
      </c>
      <c r="V3" s="3" t="s">
        <v>2754</v>
      </c>
      <c r="W3" s="4"/>
      <c r="X3" s="3" t="s">
        <v>4985</v>
      </c>
      <c r="Y3" s="3" t="s">
        <v>969</v>
      </c>
      <c r="Z3" s="4"/>
      <c r="AA3" s="3" t="s">
        <v>971</v>
      </c>
      <c r="AB3" s="4"/>
      <c r="AC3" s="4"/>
      <c r="AD3" s="3" t="s">
        <v>971</v>
      </c>
      <c r="AE3" s="4"/>
      <c r="AF3" s="4"/>
      <c r="AG3" s="4"/>
      <c r="AH3" s="3" t="s">
        <v>971</v>
      </c>
      <c r="AI3" s="4"/>
      <c r="AJ3" s="4"/>
      <c r="AK3" s="4"/>
      <c r="AL3" s="4"/>
      <c r="AM3" s="3" t="s">
        <v>4986</v>
      </c>
      <c r="AN3" s="3" t="s">
        <v>4987</v>
      </c>
      <c r="AO3" s="3" t="s">
        <v>4988</v>
      </c>
      <c r="AP3" s="3" t="s">
        <v>4989</v>
      </c>
      <c r="AQ3" s="3" t="s">
        <v>4990</v>
      </c>
      <c r="AR3" s="3" t="s">
        <v>4991</v>
      </c>
      <c r="AS3" s="3" t="s">
        <v>969</v>
      </c>
      <c r="AT3" s="3" t="s">
        <v>969</v>
      </c>
      <c r="AU3" s="3" t="s">
        <v>1039</v>
      </c>
      <c r="AV3" s="3" t="s">
        <v>4992</v>
      </c>
      <c r="AW3" s="4"/>
      <c r="AX3" s="3" t="s">
        <v>969</v>
      </c>
      <c r="AY3" s="27">
        <v>15.99</v>
      </c>
      <c r="AZ3" s="5" t="s">
        <v>27</v>
      </c>
      <c r="BA3" s="5" t="s">
        <v>22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43" t="s">
        <v>4993</v>
      </c>
      <c r="B1" s="44" t="s">
        <v>368</v>
      </c>
      <c r="C1" s="23" t="s">
        <v>904</v>
      </c>
      <c r="D1" s="22" t="s">
        <v>370</v>
      </c>
      <c r="E1" s="22" t="s">
        <v>905</v>
      </c>
      <c r="F1" s="22" t="s">
        <v>906</v>
      </c>
      <c r="G1" s="22" t="s">
        <v>907</v>
      </c>
      <c r="H1" s="22" t="s">
        <v>908</v>
      </c>
      <c r="I1" s="22" t="s">
        <v>909</v>
      </c>
      <c r="J1" s="22" t="s">
        <v>910</v>
      </c>
      <c r="K1" s="22" t="s">
        <v>911</v>
      </c>
      <c r="L1" s="22" t="s">
        <v>912</v>
      </c>
      <c r="M1" s="22" t="s">
        <v>913</v>
      </c>
      <c r="N1" s="22" t="s">
        <v>914</v>
      </c>
      <c r="O1" s="22" t="s">
        <v>915</v>
      </c>
      <c r="P1" s="22" t="s">
        <v>916</v>
      </c>
      <c r="Q1" s="22" t="s">
        <v>917</v>
      </c>
      <c r="R1" s="22" t="s">
        <v>918</v>
      </c>
      <c r="S1" s="22" t="s">
        <v>919</v>
      </c>
      <c r="T1" s="22" t="s">
        <v>920</v>
      </c>
      <c r="U1" s="22" t="s">
        <v>921</v>
      </c>
      <c r="V1" s="22" t="s">
        <v>922</v>
      </c>
      <c r="W1" s="22" t="s">
        <v>923</v>
      </c>
      <c r="X1" s="22" t="s">
        <v>924</v>
      </c>
      <c r="Y1" s="22" t="s">
        <v>925</v>
      </c>
      <c r="Z1" s="22" t="s">
        <v>926</v>
      </c>
      <c r="AA1" s="22" t="s">
        <v>927</v>
      </c>
      <c r="AB1" s="22" t="s">
        <v>928</v>
      </c>
      <c r="AC1" s="22" t="s">
        <v>929</v>
      </c>
      <c r="AD1" s="22" t="s">
        <v>930</v>
      </c>
      <c r="AE1" s="22" t="s">
        <v>931</v>
      </c>
      <c r="AF1" s="22" t="s">
        <v>932</v>
      </c>
      <c r="AG1" s="22" t="s">
        <v>933</v>
      </c>
      <c r="AH1" s="22" t="s">
        <v>934</v>
      </c>
      <c r="AI1" s="22" t="s">
        <v>935</v>
      </c>
      <c r="AJ1" s="22" t="s">
        <v>936</v>
      </c>
      <c r="AK1" s="22" t="s">
        <v>937</v>
      </c>
      <c r="AL1" s="22" t="s">
        <v>938</v>
      </c>
      <c r="AM1" s="22" t="s">
        <v>939</v>
      </c>
      <c r="AN1" s="22" t="s">
        <v>940</v>
      </c>
      <c r="AO1" s="22" t="s">
        <v>941</v>
      </c>
      <c r="AP1" s="22" t="s">
        <v>942</v>
      </c>
      <c r="AQ1" s="22" t="s">
        <v>943</v>
      </c>
      <c r="AR1" s="22" t="s">
        <v>944</v>
      </c>
      <c r="AS1" s="22" t="s">
        <v>945</v>
      </c>
      <c r="AT1" s="22" t="s">
        <v>946</v>
      </c>
      <c r="AU1" s="22" t="s">
        <v>947</v>
      </c>
      <c r="AV1" s="22" t="s">
        <v>948</v>
      </c>
      <c r="AW1" s="22" t="s">
        <v>949</v>
      </c>
      <c r="AX1" s="22" t="s">
        <v>950</v>
      </c>
      <c r="AY1" s="22" t="s">
        <v>951</v>
      </c>
      <c r="AZ1" s="23" t="s">
        <v>904</v>
      </c>
      <c r="BA1" s="23" t="s">
        <v>952</v>
      </c>
    </row>
    <row r="2" ht="15.75" customHeight="1">
      <c r="A2" s="45">
        <v>1.0</v>
      </c>
      <c r="B2" s="46">
        <v>191.0</v>
      </c>
      <c r="C2" s="21" t="s">
        <v>24</v>
      </c>
      <c r="D2" s="3" t="s">
        <v>953</v>
      </c>
      <c r="E2" s="25">
        <v>46218.96388888889</v>
      </c>
      <c r="F2" s="3" t="s">
        <v>364</v>
      </c>
      <c r="G2" s="3" t="s">
        <v>954</v>
      </c>
      <c r="H2" s="3" t="s">
        <v>955</v>
      </c>
      <c r="I2" s="3" t="s">
        <v>365</v>
      </c>
      <c r="J2" s="3" t="s">
        <v>956</v>
      </c>
      <c r="K2" s="3" t="s">
        <v>957</v>
      </c>
      <c r="L2" s="3" t="s">
        <v>958</v>
      </c>
      <c r="M2" s="26">
        <v>39220.0</v>
      </c>
      <c r="N2" s="3" t="s">
        <v>959</v>
      </c>
      <c r="O2" s="3" t="s">
        <v>960</v>
      </c>
      <c r="P2" s="3" t="s">
        <v>961</v>
      </c>
      <c r="Q2" s="3" t="s">
        <v>962</v>
      </c>
      <c r="R2" s="4"/>
      <c r="S2" s="3" t="s">
        <v>963</v>
      </c>
      <c r="T2" s="3" t="s">
        <v>964</v>
      </c>
      <c r="U2" s="3" t="s">
        <v>965</v>
      </c>
      <c r="V2" s="3" t="s">
        <v>966</v>
      </c>
      <c r="W2" s="3" t="s">
        <v>967</v>
      </c>
      <c r="X2" s="3" t="s">
        <v>968</v>
      </c>
      <c r="Y2" s="3" t="s">
        <v>969</v>
      </c>
      <c r="Z2" s="3" t="s">
        <v>970</v>
      </c>
      <c r="AA2" s="3" t="s">
        <v>971</v>
      </c>
      <c r="AB2" s="4"/>
      <c r="AC2" s="3" t="s">
        <v>966</v>
      </c>
      <c r="AD2" s="3" t="s">
        <v>966</v>
      </c>
      <c r="AE2" s="4"/>
      <c r="AF2" s="4"/>
      <c r="AG2" s="4"/>
      <c r="AH2" s="3" t="s">
        <v>971</v>
      </c>
      <c r="AI2" s="4"/>
      <c r="AJ2" s="3" t="s">
        <v>972</v>
      </c>
      <c r="AK2" s="3" t="s">
        <v>973</v>
      </c>
      <c r="AL2" s="3" t="s">
        <v>974</v>
      </c>
      <c r="AM2" s="3" t="s">
        <v>975</v>
      </c>
      <c r="AN2" s="3" t="s">
        <v>976</v>
      </c>
      <c r="AO2" s="3" t="s">
        <v>977</v>
      </c>
      <c r="AP2" s="3" t="s">
        <v>978</v>
      </c>
      <c r="AQ2" s="3" t="s">
        <v>979</v>
      </c>
      <c r="AR2" s="3" t="s">
        <v>980</v>
      </c>
      <c r="AS2" s="3" t="s">
        <v>971</v>
      </c>
      <c r="AT2" s="3" t="s">
        <v>969</v>
      </c>
      <c r="AU2" s="3" t="s">
        <v>981</v>
      </c>
      <c r="AV2" s="3" t="s">
        <v>982</v>
      </c>
      <c r="AW2" s="3" t="s">
        <v>983</v>
      </c>
      <c r="AX2" s="3" t="s">
        <v>969</v>
      </c>
      <c r="AY2" s="27">
        <v>15.99</v>
      </c>
      <c r="AZ2" s="5" t="s">
        <v>39</v>
      </c>
      <c r="BA2" s="5" t="s">
        <v>7</v>
      </c>
    </row>
    <row r="3" ht="15.75" customHeight="1">
      <c r="A3" s="45">
        <v>2.0</v>
      </c>
      <c r="B3" s="46">
        <v>187.0</v>
      </c>
      <c r="C3" s="21" t="s">
        <v>24</v>
      </c>
      <c r="D3" s="3" t="s">
        <v>953</v>
      </c>
      <c r="E3" s="25">
        <v>46216.12291666667</v>
      </c>
      <c r="F3" s="3" t="s">
        <v>355</v>
      </c>
      <c r="G3" s="3" t="s">
        <v>355</v>
      </c>
      <c r="H3" s="3" t="s">
        <v>471</v>
      </c>
      <c r="I3" s="3" t="s">
        <v>984</v>
      </c>
      <c r="J3" s="3" t="s">
        <v>985</v>
      </c>
      <c r="K3" s="3" t="s">
        <v>986</v>
      </c>
      <c r="L3" s="3" t="s">
        <v>987</v>
      </c>
      <c r="M3" s="26">
        <v>35297.0</v>
      </c>
      <c r="N3" s="3" t="s">
        <v>988</v>
      </c>
      <c r="O3" s="3" t="s">
        <v>989</v>
      </c>
      <c r="P3" s="3" t="s">
        <v>990</v>
      </c>
      <c r="Q3" s="4"/>
      <c r="R3" s="4"/>
      <c r="S3" s="3" t="s">
        <v>991</v>
      </c>
      <c r="T3" s="3" t="s">
        <v>992</v>
      </c>
      <c r="U3" s="3" t="s">
        <v>993</v>
      </c>
      <c r="V3" s="3" t="s">
        <v>994</v>
      </c>
      <c r="W3" s="3" t="s">
        <v>995</v>
      </c>
      <c r="X3" s="3" t="s">
        <v>996</v>
      </c>
      <c r="Y3" s="3" t="s">
        <v>971</v>
      </c>
      <c r="Z3" s="3" t="s">
        <v>997</v>
      </c>
      <c r="AA3" s="3" t="s">
        <v>969</v>
      </c>
      <c r="AB3" s="3" t="s">
        <v>998</v>
      </c>
      <c r="AC3" s="3" t="s">
        <v>6</v>
      </c>
      <c r="AD3" s="3" t="s">
        <v>999</v>
      </c>
      <c r="AE3" s="3" t="s">
        <v>1000</v>
      </c>
      <c r="AF3" s="3" t="s">
        <v>1001</v>
      </c>
      <c r="AG3" s="3" t="s">
        <v>1002</v>
      </c>
      <c r="AH3" s="3" t="s">
        <v>969</v>
      </c>
      <c r="AI3" s="3" t="s">
        <v>1003</v>
      </c>
      <c r="AJ3" s="4"/>
      <c r="AK3" s="4"/>
      <c r="AL3" s="3" t="s">
        <v>1004</v>
      </c>
      <c r="AM3" s="3" t="s">
        <v>1005</v>
      </c>
      <c r="AN3" s="3" t="s">
        <v>1006</v>
      </c>
      <c r="AO3" s="3" t="s">
        <v>1007</v>
      </c>
      <c r="AP3" s="3" t="s">
        <v>1008</v>
      </c>
      <c r="AQ3" s="3" t="s">
        <v>1009</v>
      </c>
      <c r="AR3" s="3" t="s">
        <v>1010</v>
      </c>
      <c r="AS3" s="3" t="s">
        <v>969</v>
      </c>
      <c r="AT3" s="3" t="s">
        <v>969</v>
      </c>
      <c r="AU3" s="3" t="s">
        <v>981</v>
      </c>
      <c r="AV3" s="3" t="s">
        <v>1011</v>
      </c>
      <c r="AW3" s="3" t="s">
        <v>1012</v>
      </c>
      <c r="AX3" s="3" t="s">
        <v>969</v>
      </c>
      <c r="AY3" s="27">
        <v>15.99</v>
      </c>
      <c r="AZ3" s="5" t="s">
        <v>39</v>
      </c>
      <c r="BA3" s="5" t="s">
        <v>22</v>
      </c>
    </row>
    <row r="4" ht="15.75" customHeight="1">
      <c r="A4" s="47">
        <v>3.0</v>
      </c>
      <c r="B4" s="48">
        <v>119.0</v>
      </c>
      <c r="C4" s="36" t="s">
        <v>24</v>
      </c>
      <c r="D4" s="37" t="s">
        <v>953</v>
      </c>
      <c r="E4" s="38">
        <v>46208.55972222222</v>
      </c>
      <c r="F4" s="37" t="s">
        <v>203</v>
      </c>
      <c r="G4" s="37" t="s">
        <v>1172</v>
      </c>
      <c r="H4" s="37" t="s">
        <v>204</v>
      </c>
      <c r="I4" s="37" t="s">
        <v>1173</v>
      </c>
      <c r="J4" s="37" t="s">
        <v>1174</v>
      </c>
      <c r="K4" s="37" t="s">
        <v>1175</v>
      </c>
      <c r="L4" s="37" t="s">
        <v>1176</v>
      </c>
      <c r="M4" s="39">
        <v>37947.0</v>
      </c>
      <c r="N4" s="37" t="s">
        <v>1177</v>
      </c>
      <c r="O4" s="37" t="s">
        <v>1178</v>
      </c>
      <c r="P4" s="37" t="s">
        <v>1179</v>
      </c>
      <c r="Q4" s="37" t="s">
        <v>1180</v>
      </c>
      <c r="R4" s="37" t="s">
        <v>1181</v>
      </c>
      <c r="S4" s="37" t="s">
        <v>1182</v>
      </c>
      <c r="T4" s="37" t="s">
        <v>1183</v>
      </c>
      <c r="U4" s="37" t="s">
        <v>1184</v>
      </c>
      <c r="V4" s="37" t="s">
        <v>1185</v>
      </c>
      <c r="W4" s="37" t="s">
        <v>1186</v>
      </c>
      <c r="X4" s="37" t="s">
        <v>1187</v>
      </c>
      <c r="Y4" s="37" t="s">
        <v>969</v>
      </c>
      <c r="Z4" s="37" t="s">
        <v>1188</v>
      </c>
      <c r="AA4" s="37" t="s">
        <v>969</v>
      </c>
      <c r="AB4" s="37" t="s">
        <v>1189</v>
      </c>
      <c r="AC4" s="37" t="s">
        <v>1190</v>
      </c>
      <c r="AD4" s="37" t="s">
        <v>1191</v>
      </c>
      <c r="AE4" s="37" t="s">
        <v>1192</v>
      </c>
      <c r="AF4" s="37" t="s">
        <v>1193</v>
      </c>
      <c r="AG4" s="37" t="s">
        <v>1194</v>
      </c>
      <c r="AH4" s="37" t="s">
        <v>971</v>
      </c>
      <c r="AI4" s="37" t="s">
        <v>1181</v>
      </c>
      <c r="AJ4" s="37" t="s">
        <v>1181</v>
      </c>
      <c r="AK4" s="37" t="s">
        <v>1181</v>
      </c>
      <c r="AL4" s="37" t="s">
        <v>1195</v>
      </c>
      <c r="AM4" s="37" t="s">
        <v>1196</v>
      </c>
      <c r="AN4" s="37" t="s">
        <v>1197</v>
      </c>
      <c r="AO4" s="37" t="s">
        <v>1198</v>
      </c>
      <c r="AP4" s="37" t="s">
        <v>1199</v>
      </c>
      <c r="AQ4" s="37" t="s">
        <v>1200</v>
      </c>
      <c r="AR4" s="37" t="s">
        <v>1201</v>
      </c>
      <c r="AS4" s="37" t="s">
        <v>969</v>
      </c>
      <c r="AT4" s="37" t="s">
        <v>969</v>
      </c>
      <c r="AU4" s="37" t="s">
        <v>1039</v>
      </c>
      <c r="AV4" s="37" t="s">
        <v>1202</v>
      </c>
      <c r="AW4" s="37" t="s">
        <v>1203</v>
      </c>
      <c r="AX4" s="37" t="s">
        <v>969</v>
      </c>
      <c r="AY4" s="40">
        <v>15.99</v>
      </c>
      <c r="AZ4" s="41" t="s">
        <v>39</v>
      </c>
      <c r="BA4" s="41" t="s">
        <v>7</v>
      </c>
    </row>
    <row r="5" ht="15.75" customHeight="1">
      <c r="A5" s="45">
        <v>4.0</v>
      </c>
      <c r="B5" s="46">
        <v>189.0</v>
      </c>
      <c r="C5" s="21" t="s">
        <v>24</v>
      </c>
      <c r="D5" s="3" t="s">
        <v>953</v>
      </c>
      <c r="E5" s="25">
        <v>46216.14652777778</v>
      </c>
      <c r="F5" s="3" t="s">
        <v>360</v>
      </c>
      <c r="G5" s="3" t="s">
        <v>1312</v>
      </c>
      <c r="H5" s="3" t="s">
        <v>491</v>
      </c>
      <c r="I5" s="3" t="s">
        <v>1313</v>
      </c>
      <c r="J5" s="4"/>
      <c r="K5" s="3" t="s">
        <v>1094</v>
      </c>
      <c r="L5" s="3" t="s">
        <v>1314</v>
      </c>
      <c r="M5" s="26">
        <v>38965.0</v>
      </c>
      <c r="N5" s="3" t="s">
        <v>1315</v>
      </c>
      <c r="O5" s="3" t="s">
        <v>1316</v>
      </c>
      <c r="P5" s="4"/>
      <c r="Q5" s="4"/>
      <c r="R5" s="4"/>
      <c r="S5" s="3" t="s">
        <v>1317</v>
      </c>
      <c r="T5" s="3" t="s">
        <v>1318</v>
      </c>
      <c r="U5" s="3" t="s">
        <v>1124</v>
      </c>
      <c r="V5" s="3" t="s">
        <v>1319</v>
      </c>
      <c r="W5" s="4"/>
      <c r="X5" s="3" t="s">
        <v>1320</v>
      </c>
      <c r="Y5" s="3" t="s">
        <v>969</v>
      </c>
      <c r="Z5" s="3" t="s">
        <v>1321</v>
      </c>
      <c r="AA5" s="3" t="s">
        <v>969</v>
      </c>
      <c r="AB5" s="3" t="s">
        <v>1322</v>
      </c>
      <c r="AC5" s="3" t="s">
        <v>969</v>
      </c>
      <c r="AD5" s="3" t="s">
        <v>1323</v>
      </c>
      <c r="AE5" s="3" t="s">
        <v>1324</v>
      </c>
      <c r="AF5" s="3" t="s">
        <v>1250</v>
      </c>
      <c r="AG5" s="3" t="s">
        <v>1325</v>
      </c>
      <c r="AH5" s="3" t="s">
        <v>971</v>
      </c>
      <c r="AI5" s="4"/>
      <c r="AJ5" s="3" t="s">
        <v>969</v>
      </c>
      <c r="AK5" s="3" t="s">
        <v>1326</v>
      </c>
      <c r="AL5" s="3" t="s">
        <v>1327</v>
      </c>
      <c r="AM5" s="3" t="s">
        <v>1328</v>
      </c>
      <c r="AN5" s="3" t="s">
        <v>1329</v>
      </c>
      <c r="AO5" s="3" t="s">
        <v>1330</v>
      </c>
      <c r="AP5" s="3" t="s">
        <v>1331</v>
      </c>
      <c r="AQ5" s="3" t="s">
        <v>1332</v>
      </c>
      <c r="AR5" s="3" t="s">
        <v>1333</v>
      </c>
      <c r="AS5" s="3" t="s">
        <v>969</v>
      </c>
      <c r="AT5" s="3" t="s">
        <v>969</v>
      </c>
      <c r="AU5" s="3" t="s">
        <v>1039</v>
      </c>
      <c r="AV5" s="3" t="s">
        <v>1144</v>
      </c>
      <c r="AW5" s="4"/>
      <c r="AX5" s="3" t="s">
        <v>969</v>
      </c>
      <c r="AY5" s="27">
        <v>15.99</v>
      </c>
      <c r="AZ5" s="5" t="s">
        <v>27</v>
      </c>
      <c r="BA5" s="5" t="s">
        <v>22</v>
      </c>
    </row>
    <row r="6" ht="15.75" customHeight="1">
      <c r="A6" s="45">
        <v>5.0</v>
      </c>
      <c r="B6" s="46">
        <v>185.0</v>
      </c>
      <c r="C6" s="21" t="s">
        <v>24</v>
      </c>
      <c r="D6" s="3" t="s">
        <v>953</v>
      </c>
      <c r="E6" s="25">
        <v>46215.92986111111</v>
      </c>
      <c r="F6" s="3" t="s">
        <v>349</v>
      </c>
      <c r="G6" s="3" t="s">
        <v>349</v>
      </c>
      <c r="H6" s="3" t="s">
        <v>672</v>
      </c>
      <c r="I6" s="3" t="s">
        <v>1334</v>
      </c>
      <c r="J6" s="3" t="s">
        <v>1335</v>
      </c>
      <c r="K6" s="3" t="s">
        <v>189</v>
      </c>
      <c r="L6" s="3" t="s">
        <v>1336</v>
      </c>
      <c r="M6" s="26">
        <v>37231.0</v>
      </c>
      <c r="N6" s="3" t="s">
        <v>1337</v>
      </c>
      <c r="O6" s="3" t="s">
        <v>1336</v>
      </c>
      <c r="P6" s="3" t="s">
        <v>1338</v>
      </c>
      <c r="Q6" s="3" t="s">
        <v>1339</v>
      </c>
      <c r="R6" s="4"/>
      <c r="S6" s="3" t="s">
        <v>1340</v>
      </c>
      <c r="T6" s="3" t="s">
        <v>1341</v>
      </c>
      <c r="U6" s="3" t="s">
        <v>1124</v>
      </c>
      <c r="V6" s="3" t="s">
        <v>1342</v>
      </c>
      <c r="W6" s="3" t="s">
        <v>1343</v>
      </c>
      <c r="X6" s="3" t="s">
        <v>1344</v>
      </c>
      <c r="Y6" s="3" t="s">
        <v>971</v>
      </c>
      <c r="Z6" s="3" t="s">
        <v>1128</v>
      </c>
      <c r="AA6" s="3" t="s">
        <v>971</v>
      </c>
      <c r="AB6" s="3" t="s">
        <v>1345</v>
      </c>
      <c r="AC6" s="3" t="s">
        <v>1346</v>
      </c>
      <c r="AD6" s="3" t="s">
        <v>1347</v>
      </c>
      <c r="AE6" s="3" t="s">
        <v>1348</v>
      </c>
      <c r="AF6" s="3" t="s">
        <v>1349</v>
      </c>
      <c r="AG6" s="3" t="s">
        <v>1030</v>
      </c>
      <c r="AH6" s="3" t="s">
        <v>971</v>
      </c>
      <c r="AI6" s="4"/>
      <c r="AJ6" s="3" t="s">
        <v>971</v>
      </c>
      <c r="AK6" s="4"/>
      <c r="AL6" s="3" t="s">
        <v>1350</v>
      </c>
      <c r="AM6" s="3" t="s">
        <v>1351</v>
      </c>
      <c r="AN6" s="3" t="s">
        <v>1352</v>
      </c>
      <c r="AO6" s="3" t="s">
        <v>1353</v>
      </c>
      <c r="AP6" s="3" t="s">
        <v>1354</v>
      </c>
      <c r="AQ6" s="3" t="s">
        <v>1355</v>
      </c>
      <c r="AR6" s="3" t="s">
        <v>1356</v>
      </c>
      <c r="AS6" s="3" t="s">
        <v>969</v>
      </c>
      <c r="AT6" s="3" t="s">
        <v>969</v>
      </c>
      <c r="AU6" s="3" t="s">
        <v>1260</v>
      </c>
      <c r="AV6" s="3" t="s">
        <v>1357</v>
      </c>
      <c r="AW6" s="3" t="s">
        <v>1288</v>
      </c>
      <c r="AX6" s="3" t="s">
        <v>969</v>
      </c>
      <c r="AY6" s="27">
        <v>15.99</v>
      </c>
      <c r="AZ6" s="5" t="s">
        <v>27</v>
      </c>
      <c r="BA6" s="5" t="s">
        <v>22</v>
      </c>
    </row>
    <row r="7" ht="15.75" customHeight="1">
      <c r="A7" s="47">
        <v>6.0</v>
      </c>
      <c r="B7" s="46">
        <v>172.0</v>
      </c>
      <c r="C7" s="21" t="s">
        <v>24</v>
      </c>
      <c r="D7" s="3" t="s">
        <v>953</v>
      </c>
      <c r="E7" s="25">
        <v>46211.80416666667</v>
      </c>
      <c r="F7" s="3" t="s">
        <v>325</v>
      </c>
      <c r="G7" s="3" t="s">
        <v>1358</v>
      </c>
      <c r="H7" s="3" t="s">
        <v>810</v>
      </c>
      <c r="I7" s="3" t="s">
        <v>1359</v>
      </c>
      <c r="J7" s="3" t="s">
        <v>1360</v>
      </c>
      <c r="K7" s="3" t="s">
        <v>1361</v>
      </c>
      <c r="L7" s="3" t="s">
        <v>1362</v>
      </c>
      <c r="M7" s="26">
        <v>37341.0</v>
      </c>
      <c r="N7" s="3" t="s">
        <v>1363</v>
      </c>
      <c r="O7" s="3" t="s">
        <v>1364</v>
      </c>
      <c r="P7" s="3" t="s">
        <v>1365</v>
      </c>
      <c r="Q7" s="3" t="s">
        <v>1366</v>
      </c>
      <c r="R7" s="3" t="s">
        <v>1367</v>
      </c>
      <c r="S7" s="3" t="s">
        <v>1368</v>
      </c>
      <c r="T7" s="3" t="s">
        <v>1369</v>
      </c>
      <c r="U7" s="3" t="s">
        <v>1370</v>
      </c>
      <c r="V7" s="3" t="s">
        <v>1371</v>
      </c>
      <c r="W7" s="4"/>
      <c r="X7" s="3" t="s">
        <v>1372</v>
      </c>
      <c r="Y7" s="3" t="s">
        <v>971</v>
      </c>
      <c r="Z7" s="3" t="s">
        <v>1373</v>
      </c>
      <c r="AA7" s="3" t="s">
        <v>969</v>
      </c>
      <c r="AB7" s="3" t="s">
        <v>1374</v>
      </c>
      <c r="AC7" s="3" t="s">
        <v>1375</v>
      </c>
      <c r="AD7" s="3" t="s">
        <v>1376</v>
      </c>
      <c r="AE7" s="3" t="s">
        <v>1377</v>
      </c>
      <c r="AF7" s="3" t="s">
        <v>1378</v>
      </c>
      <c r="AG7" s="3" t="s">
        <v>1133</v>
      </c>
      <c r="AH7" s="3" t="s">
        <v>969</v>
      </c>
      <c r="AI7" s="3" t="s">
        <v>1379</v>
      </c>
      <c r="AJ7" s="3" t="s">
        <v>1380</v>
      </c>
      <c r="AK7" s="3" t="s">
        <v>1381</v>
      </c>
      <c r="AL7" s="3" t="s">
        <v>1382</v>
      </c>
      <c r="AM7" s="3" t="s">
        <v>1383</v>
      </c>
      <c r="AN7" s="3" t="s">
        <v>1384</v>
      </c>
      <c r="AO7" s="3" t="s">
        <v>1385</v>
      </c>
      <c r="AP7" s="3" t="s">
        <v>1386</v>
      </c>
      <c r="AQ7" s="3" t="s">
        <v>1387</v>
      </c>
      <c r="AR7" s="3" t="s">
        <v>1388</v>
      </c>
      <c r="AS7" s="3" t="s">
        <v>969</v>
      </c>
      <c r="AT7" s="3" t="s">
        <v>969</v>
      </c>
      <c r="AU7" s="3" t="s">
        <v>1260</v>
      </c>
      <c r="AV7" s="3" t="s">
        <v>1389</v>
      </c>
      <c r="AW7" s="4"/>
      <c r="AX7" s="3" t="s">
        <v>969</v>
      </c>
      <c r="AY7" s="27">
        <v>15.99</v>
      </c>
      <c r="AZ7" s="5" t="s">
        <v>27</v>
      </c>
      <c r="BA7" s="5" t="s">
        <v>326</v>
      </c>
    </row>
    <row r="8" ht="15.75" customHeight="1">
      <c r="A8" s="45">
        <v>7.0</v>
      </c>
      <c r="B8" s="46">
        <v>171.0</v>
      </c>
      <c r="C8" s="21" t="s">
        <v>24</v>
      </c>
      <c r="D8" s="3" t="s">
        <v>953</v>
      </c>
      <c r="E8" s="25">
        <v>46210.62916666667</v>
      </c>
      <c r="F8" s="3" t="s">
        <v>322</v>
      </c>
      <c r="G8" s="3" t="s">
        <v>322</v>
      </c>
      <c r="H8" s="3" t="s">
        <v>748</v>
      </c>
      <c r="I8" s="3" t="s">
        <v>1390</v>
      </c>
      <c r="J8" s="4"/>
      <c r="K8" s="3" t="s">
        <v>1391</v>
      </c>
      <c r="L8" s="3" t="s">
        <v>1392</v>
      </c>
      <c r="M8" s="26">
        <v>36768.0</v>
      </c>
      <c r="N8" s="3" t="s">
        <v>1393</v>
      </c>
      <c r="O8" s="3" t="s">
        <v>1392</v>
      </c>
      <c r="P8" s="4"/>
      <c r="Q8" s="4"/>
      <c r="R8" s="4"/>
      <c r="S8" s="3" t="s">
        <v>1394</v>
      </c>
      <c r="T8" s="3" t="s">
        <v>1395</v>
      </c>
      <c r="U8" s="3" t="s">
        <v>1396</v>
      </c>
      <c r="V8" s="3" t="s">
        <v>1397</v>
      </c>
      <c r="W8" s="4"/>
      <c r="X8" s="3" t="s">
        <v>1398</v>
      </c>
      <c r="Y8" s="3" t="s">
        <v>971</v>
      </c>
      <c r="Z8" s="3" t="s">
        <v>1399</v>
      </c>
      <c r="AA8" s="3" t="s">
        <v>969</v>
      </c>
      <c r="AB8" s="3" t="s">
        <v>1400</v>
      </c>
      <c r="AC8" s="3" t="s">
        <v>969</v>
      </c>
      <c r="AD8" s="3" t="s">
        <v>1401</v>
      </c>
      <c r="AE8" s="4"/>
      <c r="AF8" s="4"/>
      <c r="AG8" s="4"/>
      <c r="AH8" s="3" t="s">
        <v>969</v>
      </c>
      <c r="AI8" s="3" t="s">
        <v>1402</v>
      </c>
      <c r="AJ8" s="4"/>
      <c r="AK8" s="4"/>
      <c r="AL8" s="4"/>
      <c r="AM8" s="3" t="s">
        <v>1403</v>
      </c>
      <c r="AN8" s="3" t="s">
        <v>1404</v>
      </c>
      <c r="AO8" s="3" t="s">
        <v>1405</v>
      </c>
      <c r="AP8" s="3" t="s">
        <v>1406</v>
      </c>
      <c r="AQ8" s="3" t="s">
        <v>1407</v>
      </c>
      <c r="AR8" s="3" t="s">
        <v>1408</v>
      </c>
      <c r="AS8" s="3" t="s">
        <v>969</v>
      </c>
      <c r="AT8" s="3" t="s">
        <v>969</v>
      </c>
      <c r="AU8" s="3" t="s">
        <v>1409</v>
      </c>
      <c r="AV8" s="3" t="s">
        <v>1410</v>
      </c>
      <c r="AW8" s="4"/>
      <c r="AX8" s="3" t="s">
        <v>969</v>
      </c>
      <c r="AY8" s="27">
        <v>15.99</v>
      </c>
      <c r="AZ8" s="5" t="s">
        <v>27</v>
      </c>
      <c r="BA8" s="5" t="s">
        <v>22</v>
      </c>
    </row>
    <row r="9" ht="15.75" customHeight="1">
      <c r="A9" s="45">
        <v>8.0</v>
      </c>
      <c r="B9" s="46">
        <v>168.0</v>
      </c>
      <c r="C9" s="21" t="s">
        <v>24</v>
      </c>
      <c r="D9" s="3" t="s">
        <v>953</v>
      </c>
      <c r="E9" s="25">
        <v>46209.35833333333</v>
      </c>
      <c r="F9" s="3" t="s">
        <v>1411</v>
      </c>
      <c r="G9" s="3" t="s">
        <v>1411</v>
      </c>
      <c r="H9" s="3" t="s">
        <v>614</v>
      </c>
      <c r="I9" s="3" t="s">
        <v>1412</v>
      </c>
      <c r="J9" s="3" t="s">
        <v>1413</v>
      </c>
      <c r="K9" s="3" t="s">
        <v>1414</v>
      </c>
      <c r="L9" s="3" t="s">
        <v>1415</v>
      </c>
      <c r="M9" s="26">
        <v>38276.0</v>
      </c>
      <c r="N9" s="3" t="s">
        <v>1416</v>
      </c>
      <c r="O9" s="3" t="s">
        <v>1417</v>
      </c>
      <c r="P9" s="3" t="s">
        <v>1418</v>
      </c>
      <c r="Q9" s="3" t="s">
        <v>1419</v>
      </c>
      <c r="R9" s="4"/>
      <c r="S9" s="3" t="s">
        <v>1420</v>
      </c>
      <c r="T9" s="3" t="s">
        <v>1421</v>
      </c>
      <c r="U9" s="3" t="s">
        <v>1124</v>
      </c>
      <c r="V9" s="3" t="s">
        <v>1422</v>
      </c>
      <c r="W9" s="3" t="s">
        <v>1423</v>
      </c>
      <c r="X9" s="3" t="s">
        <v>1424</v>
      </c>
      <c r="Y9" s="3" t="s">
        <v>969</v>
      </c>
      <c r="Z9" s="3" t="s">
        <v>1425</v>
      </c>
      <c r="AA9" s="3" t="s">
        <v>971</v>
      </c>
      <c r="AB9" s="4"/>
      <c r="AC9" s="3" t="s">
        <v>1426</v>
      </c>
      <c r="AD9" s="3" t="s">
        <v>1427</v>
      </c>
      <c r="AE9" s="3" t="s">
        <v>1428</v>
      </c>
      <c r="AF9" s="3" t="s">
        <v>1429</v>
      </c>
      <c r="AG9" s="3" t="s">
        <v>1030</v>
      </c>
      <c r="AH9" s="3" t="s">
        <v>971</v>
      </c>
      <c r="AI9" s="4"/>
      <c r="AJ9" s="3" t="s">
        <v>1430</v>
      </c>
      <c r="AK9" s="3" t="s">
        <v>1431</v>
      </c>
      <c r="AL9" s="3" t="s">
        <v>1432</v>
      </c>
      <c r="AM9" s="3" t="s">
        <v>1433</v>
      </c>
      <c r="AN9" s="3" t="s">
        <v>1434</v>
      </c>
      <c r="AO9" s="3" t="s">
        <v>1435</v>
      </c>
      <c r="AP9" s="3" t="s">
        <v>1436</v>
      </c>
      <c r="AQ9" s="3" t="s">
        <v>1437</v>
      </c>
      <c r="AR9" s="3" t="s">
        <v>1438</v>
      </c>
      <c r="AS9" s="3" t="s">
        <v>969</v>
      </c>
      <c r="AT9" s="3" t="s">
        <v>971</v>
      </c>
      <c r="AU9" s="3" t="s">
        <v>1260</v>
      </c>
      <c r="AV9" s="3" t="s">
        <v>1439</v>
      </c>
      <c r="AW9" s="4"/>
      <c r="AX9" s="3" t="s">
        <v>969</v>
      </c>
      <c r="AY9" s="27">
        <v>15.99</v>
      </c>
      <c r="AZ9" s="5" t="s">
        <v>85</v>
      </c>
      <c r="BA9" s="5" t="s">
        <v>162</v>
      </c>
    </row>
    <row r="10" ht="15.75" customHeight="1">
      <c r="A10" s="47">
        <v>9.0</v>
      </c>
      <c r="B10" s="46">
        <v>162.0</v>
      </c>
      <c r="C10" s="21" t="s">
        <v>24</v>
      </c>
      <c r="D10" s="3" t="s">
        <v>953</v>
      </c>
      <c r="E10" s="25">
        <v>46209.06388888889</v>
      </c>
      <c r="F10" s="3" t="s">
        <v>1440</v>
      </c>
      <c r="G10" s="3" t="s">
        <v>1441</v>
      </c>
      <c r="H10" s="3" t="s">
        <v>730</v>
      </c>
      <c r="I10" s="3" t="s">
        <v>1442</v>
      </c>
      <c r="J10" s="3" t="s">
        <v>1443</v>
      </c>
      <c r="K10" s="3" t="s">
        <v>1444</v>
      </c>
      <c r="L10" s="3" t="s">
        <v>1445</v>
      </c>
      <c r="M10" s="26">
        <v>38765.0</v>
      </c>
      <c r="N10" s="3" t="s">
        <v>1446</v>
      </c>
      <c r="O10" s="3" t="s">
        <v>1445</v>
      </c>
      <c r="P10" s="3" t="s">
        <v>1447</v>
      </c>
      <c r="Q10" s="3" t="s">
        <v>1448</v>
      </c>
      <c r="R10" s="3" t="s">
        <v>1447</v>
      </c>
      <c r="S10" s="3" t="s">
        <v>1449</v>
      </c>
      <c r="T10" s="3" t="s">
        <v>1450</v>
      </c>
      <c r="U10" s="3" t="s">
        <v>1050</v>
      </c>
      <c r="V10" s="3" t="s">
        <v>1451</v>
      </c>
      <c r="W10" s="3" t="s">
        <v>1452</v>
      </c>
      <c r="X10" s="3" t="s">
        <v>1453</v>
      </c>
      <c r="Y10" s="3" t="s">
        <v>969</v>
      </c>
      <c r="Z10" s="3" t="s">
        <v>1454</v>
      </c>
      <c r="AA10" s="3" t="s">
        <v>971</v>
      </c>
      <c r="AB10" s="3" t="s">
        <v>1455</v>
      </c>
      <c r="AC10" s="3" t="s">
        <v>1456</v>
      </c>
      <c r="AD10" s="3" t="s">
        <v>1457</v>
      </c>
      <c r="AE10" s="3" t="s">
        <v>1458</v>
      </c>
      <c r="AF10" s="3" t="s">
        <v>1459</v>
      </c>
      <c r="AG10" s="3" t="s">
        <v>1460</v>
      </c>
      <c r="AH10" s="3" t="s">
        <v>971</v>
      </c>
      <c r="AI10" s="3" t="s">
        <v>1447</v>
      </c>
      <c r="AJ10" s="3" t="s">
        <v>1461</v>
      </c>
      <c r="AK10" s="3" t="s">
        <v>1462</v>
      </c>
      <c r="AL10" s="3" t="s">
        <v>1463</v>
      </c>
      <c r="AM10" s="3" t="s">
        <v>1464</v>
      </c>
      <c r="AN10" s="3" t="s">
        <v>1465</v>
      </c>
      <c r="AO10" s="3" t="s">
        <v>1466</v>
      </c>
      <c r="AP10" s="3" t="s">
        <v>1467</v>
      </c>
      <c r="AQ10" s="3" t="s">
        <v>1468</v>
      </c>
      <c r="AR10" s="3" t="s">
        <v>1469</v>
      </c>
      <c r="AS10" s="3" t="s">
        <v>969</v>
      </c>
      <c r="AT10" s="3" t="s">
        <v>969</v>
      </c>
      <c r="AU10" s="3" t="s">
        <v>1039</v>
      </c>
      <c r="AV10" s="3" t="s">
        <v>1470</v>
      </c>
      <c r="AW10" s="3" t="s">
        <v>1471</v>
      </c>
      <c r="AX10" s="3" t="s">
        <v>969</v>
      </c>
      <c r="AY10" s="27">
        <v>15.99</v>
      </c>
      <c r="AZ10" s="5" t="s">
        <v>27</v>
      </c>
      <c r="BA10" s="5" t="s">
        <v>22</v>
      </c>
    </row>
    <row r="11" ht="15.75" customHeight="1">
      <c r="A11" s="45">
        <v>10.0</v>
      </c>
      <c r="B11" s="46">
        <v>156.0</v>
      </c>
      <c r="C11" s="21" t="s">
        <v>24</v>
      </c>
      <c r="D11" s="3" t="s">
        <v>953</v>
      </c>
      <c r="E11" s="25">
        <v>46208.97013888889</v>
      </c>
      <c r="F11" s="3" t="s">
        <v>282</v>
      </c>
      <c r="G11" s="3" t="s">
        <v>282</v>
      </c>
      <c r="H11" s="3" t="s">
        <v>545</v>
      </c>
      <c r="I11" s="3" t="s">
        <v>1472</v>
      </c>
      <c r="J11" s="3" t="s">
        <v>1473</v>
      </c>
      <c r="K11" s="3" t="s">
        <v>1474</v>
      </c>
      <c r="L11" s="3" t="s">
        <v>1475</v>
      </c>
      <c r="M11" s="26">
        <v>36434.0</v>
      </c>
      <c r="N11" s="3" t="s">
        <v>1476</v>
      </c>
      <c r="O11" s="3" t="s">
        <v>1477</v>
      </c>
      <c r="P11" s="4"/>
      <c r="Q11" s="4"/>
      <c r="R11" s="4"/>
      <c r="S11" s="3" t="s">
        <v>1478</v>
      </c>
      <c r="T11" s="3" t="s">
        <v>1479</v>
      </c>
      <c r="U11" s="3" t="s">
        <v>1480</v>
      </c>
      <c r="V11" s="3" t="s">
        <v>1481</v>
      </c>
      <c r="W11" s="3" t="s">
        <v>1482</v>
      </c>
      <c r="X11" s="3" t="s">
        <v>1483</v>
      </c>
      <c r="Y11" s="3" t="s">
        <v>971</v>
      </c>
      <c r="Z11" s="3" t="s">
        <v>1484</v>
      </c>
      <c r="AA11" s="3" t="s">
        <v>971</v>
      </c>
      <c r="AB11" s="4"/>
      <c r="AC11" s="3" t="s">
        <v>1485</v>
      </c>
      <c r="AD11" s="3" t="s">
        <v>1486</v>
      </c>
      <c r="AE11" s="3" t="s">
        <v>1487</v>
      </c>
      <c r="AF11" s="3" t="s">
        <v>1488</v>
      </c>
      <c r="AG11" s="4"/>
      <c r="AH11" s="3" t="s">
        <v>969</v>
      </c>
      <c r="AI11" s="3" t="s">
        <v>1489</v>
      </c>
      <c r="AJ11" s="3" t="s">
        <v>969</v>
      </c>
      <c r="AK11" s="3" t="s">
        <v>1490</v>
      </c>
      <c r="AL11" s="3" t="s">
        <v>1491</v>
      </c>
      <c r="AM11" s="3" t="s">
        <v>1492</v>
      </c>
      <c r="AN11" s="3" t="s">
        <v>1493</v>
      </c>
      <c r="AO11" s="3" t="s">
        <v>1494</v>
      </c>
      <c r="AP11" s="3" t="s">
        <v>1495</v>
      </c>
      <c r="AQ11" s="3" t="s">
        <v>1496</v>
      </c>
      <c r="AR11" s="3" t="s">
        <v>1497</v>
      </c>
      <c r="AS11" s="3" t="s">
        <v>969</v>
      </c>
      <c r="AT11" s="3" t="s">
        <v>969</v>
      </c>
      <c r="AU11" s="3" t="s">
        <v>1233</v>
      </c>
      <c r="AV11" s="3" t="s">
        <v>1498</v>
      </c>
      <c r="AW11" s="3" t="s">
        <v>1499</v>
      </c>
      <c r="AX11" s="3" t="s">
        <v>969</v>
      </c>
      <c r="AY11" s="27">
        <v>15.99</v>
      </c>
      <c r="AZ11" s="5" t="s">
        <v>85</v>
      </c>
      <c r="BA11" s="5" t="s">
        <v>22</v>
      </c>
    </row>
    <row r="12" ht="15.75" customHeight="1">
      <c r="A12" s="45">
        <v>11.0</v>
      </c>
      <c r="B12" s="46">
        <v>141.0</v>
      </c>
      <c r="C12" s="21" t="s">
        <v>24</v>
      </c>
      <c r="D12" s="3" t="s">
        <v>953</v>
      </c>
      <c r="E12" s="25">
        <v>46208.85416666666</v>
      </c>
      <c r="F12" s="3" t="s">
        <v>249</v>
      </c>
      <c r="G12" s="3" t="s">
        <v>249</v>
      </c>
      <c r="H12" s="3" t="s">
        <v>589</v>
      </c>
      <c r="I12" s="3" t="s">
        <v>1500</v>
      </c>
      <c r="J12" s="3" t="s">
        <v>1501</v>
      </c>
      <c r="K12" s="3" t="s">
        <v>1502</v>
      </c>
      <c r="L12" s="3" t="s">
        <v>1503</v>
      </c>
      <c r="M12" s="26">
        <v>37648.0</v>
      </c>
      <c r="N12" s="3" t="s">
        <v>1504</v>
      </c>
      <c r="O12" s="3" t="s">
        <v>1505</v>
      </c>
      <c r="P12" s="3" t="s">
        <v>1506</v>
      </c>
      <c r="Q12" s="4"/>
      <c r="R12" s="4"/>
      <c r="S12" s="3" t="s">
        <v>1507</v>
      </c>
      <c r="T12" s="3" t="s">
        <v>1508</v>
      </c>
      <c r="U12" s="3" t="s">
        <v>1396</v>
      </c>
      <c r="V12" s="3" t="s">
        <v>1509</v>
      </c>
      <c r="W12" s="3" t="s">
        <v>1510</v>
      </c>
      <c r="X12" s="3" t="s">
        <v>1511</v>
      </c>
      <c r="Y12" s="3" t="s">
        <v>971</v>
      </c>
      <c r="Z12" s="3" t="s">
        <v>1512</v>
      </c>
      <c r="AA12" s="3" t="s">
        <v>969</v>
      </c>
      <c r="AB12" s="3" t="s">
        <v>1513</v>
      </c>
      <c r="AC12" s="3" t="s">
        <v>1514</v>
      </c>
      <c r="AD12" s="3" t="s">
        <v>1515</v>
      </c>
      <c r="AE12" s="3" t="s">
        <v>1516</v>
      </c>
      <c r="AF12" s="3" t="s">
        <v>1250</v>
      </c>
      <c r="AG12" s="3" t="s">
        <v>1517</v>
      </c>
      <c r="AH12" s="3" t="s">
        <v>969</v>
      </c>
      <c r="AI12" s="3" t="s">
        <v>1518</v>
      </c>
      <c r="AJ12" s="4"/>
      <c r="AK12" s="4"/>
      <c r="AL12" s="3" t="s">
        <v>1519</v>
      </c>
      <c r="AM12" s="3" t="s">
        <v>1520</v>
      </c>
      <c r="AN12" s="3" t="s">
        <v>1521</v>
      </c>
      <c r="AO12" s="3" t="s">
        <v>1522</v>
      </c>
      <c r="AP12" s="3" t="s">
        <v>1523</v>
      </c>
      <c r="AQ12" s="3" t="s">
        <v>1524</v>
      </c>
      <c r="AR12" s="3" t="s">
        <v>1525</v>
      </c>
      <c r="AS12" s="3" t="s">
        <v>969</v>
      </c>
      <c r="AT12" s="3" t="s">
        <v>969</v>
      </c>
      <c r="AU12" s="3" t="s">
        <v>1233</v>
      </c>
      <c r="AV12" s="3" t="s">
        <v>1498</v>
      </c>
      <c r="AW12" s="3" t="s">
        <v>1288</v>
      </c>
      <c r="AX12" s="3" t="s">
        <v>969</v>
      </c>
      <c r="AY12" s="27">
        <v>15.99</v>
      </c>
      <c r="AZ12" s="5" t="s">
        <v>85</v>
      </c>
      <c r="BA12" s="5" t="s">
        <v>22</v>
      </c>
    </row>
    <row r="13" ht="15.75" customHeight="1">
      <c r="A13" s="47">
        <v>12.0</v>
      </c>
      <c r="B13" s="46">
        <v>104.0</v>
      </c>
      <c r="C13" s="21" t="s">
        <v>24</v>
      </c>
      <c r="D13" s="3" t="s">
        <v>953</v>
      </c>
      <c r="E13" s="25">
        <v>46206.82777777778</v>
      </c>
      <c r="F13" s="3" t="s">
        <v>178</v>
      </c>
      <c r="G13" s="3" t="s">
        <v>178</v>
      </c>
      <c r="H13" s="3" t="s">
        <v>599</v>
      </c>
      <c r="I13" s="3" t="s">
        <v>1526</v>
      </c>
      <c r="J13" s="3" t="s">
        <v>1527</v>
      </c>
      <c r="K13" s="3" t="s">
        <v>1528</v>
      </c>
      <c r="L13" s="3" t="s">
        <v>1529</v>
      </c>
      <c r="M13" s="26">
        <v>38767.0</v>
      </c>
      <c r="N13" s="3" t="s">
        <v>1530</v>
      </c>
      <c r="O13" s="3" t="s">
        <v>1531</v>
      </c>
      <c r="P13" s="4"/>
      <c r="Q13" s="4"/>
      <c r="R13" s="4"/>
      <c r="S13" s="3" t="s">
        <v>1532</v>
      </c>
      <c r="T13" s="3" t="s">
        <v>1533</v>
      </c>
      <c r="U13" s="3" t="s">
        <v>1050</v>
      </c>
      <c r="V13" s="3" t="s">
        <v>1534</v>
      </c>
      <c r="W13" s="3" t="s">
        <v>1535</v>
      </c>
      <c r="X13" s="3" t="s">
        <v>1536</v>
      </c>
      <c r="Y13" s="3" t="s">
        <v>969</v>
      </c>
      <c r="Z13" s="3" t="s">
        <v>1537</v>
      </c>
      <c r="AA13" s="3" t="s">
        <v>971</v>
      </c>
      <c r="AB13" s="4"/>
      <c r="AC13" s="3" t="s">
        <v>1538</v>
      </c>
      <c r="AD13" s="3" t="s">
        <v>1539</v>
      </c>
      <c r="AE13" s="4"/>
      <c r="AF13" s="3" t="s">
        <v>1540</v>
      </c>
      <c r="AG13" s="3" t="s">
        <v>1541</v>
      </c>
      <c r="AH13" s="3" t="s">
        <v>971</v>
      </c>
      <c r="AI13" s="4"/>
      <c r="AJ13" s="4"/>
      <c r="AK13" s="4"/>
      <c r="AL13" s="3" t="s">
        <v>1542</v>
      </c>
      <c r="AM13" s="3" t="s">
        <v>1543</v>
      </c>
      <c r="AN13" s="3" t="s">
        <v>1544</v>
      </c>
      <c r="AO13" s="3" t="s">
        <v>1545</v>
      </c>
      <c r="AP13" s="3" t="s">
        <v>1546</v>
      </c>
      <c r="AQ13" s="3" t="s">
        <v>1547</v>
      </c>
      <c r="AR13" s="3" t="s">
        <v>1548</v>
      </c>
      <c r="AS13" s="3" t="s">
        <v>969</v>
      </c>
      <c r="AT13" s="3" t="s">
        <v>969</v>
      </c>
      <c r="AU13" s="3" t="s">
        <v>981</v>
      </c>
      <c r="AV13" s="3" t="s">
        <v>918</v>
      </c>
      <c r="AW13" s="4"/>
      <c r="AX13" s="3" t="s">
        <v>969</v>
      </c>
      <c r="AY13" s="27">
        <v>15.99</v>
      </c>
      <c r="AZ13" s="5" t="s">
        <v>85</v>
      </c>
      <c r="BA13" s="5" t="s">
        <v>22</v>
      </c>
    </row>
    <row r="14" ht="15.75" customHeight="1">
      <c r="A14" s="45">
        <v>13.0</v>
      </c>
      <c r="B14" s="46">
        <v>102.0</v>
      </c>
      <c r="C14" s="21" t="s">
        <v>24</v>
      </c>
      <c r="D14" s="3" t="s">
        <v>953</v>
      </c>
      <c r="E14" s="25">
        <v>46206.47708333333</v>
      </c>
      <c r="F14" s="3" t="s">
        <v>171</v>
      </c>
      <c r="G14" s="3" t="s">
        <v>171</v>
      </c>
      <c r="H14" s="3" t="s">
        <v>637</v>
      </c>
      <c r="I14" s="3" t="s">
        <v>1549</v>
      </c>
      <c r="J14" s="3" t="s">
        <v>1550</v>
      </c>
      <c r="K14" s="3" t="s">
        <v>1551</v>
      </c>
      <c r="L14" s="3" t="s">
        <v>1552</v>
      </c>
      <c r="M14" s="26">
        <v>31538.0</v>
      </c>
      <c r="N14" s="3" t="s">
        <v>1553</v>
      </c>
      <c r="O14" s="3" t="s">
        <v>1554</v>
      </c>
      <c r="P14" s="3" t="s">
        <v>171</v>
      </c>
      <c r="Q14" s="3" t="s">
        <v>1555</v>
      </c>
      <c r="R14" s="3" t="s">
        <v>1556</v>
      </c>
      <c r="S14" s="3" t="s">
        <v>1557</v>
      </c>
      <c r="T14" s="3" t="s">
        <v>1558</v>
      </c>
      <c r="U14" s="3" t="s">
        <v>1050</v>
      </c>
      <c r="V14" s="3" t="s">
        <v>1559</v>
      </c>
      <c r="W14" s="3" t="s">
        <v>1560</v>
      </c>
      <c r="X14" s="3" t="s">
        <v>1561</v>
      </c>
      <c r="Y14" s="3" t="s">
        <v>971</v>
      </c>
      <c r="Z14" s="3" t="s">
        <v>1562</v>
      </c>
      <c r="AA14" s="3" t="s">
        <v>969</v>
      </c>
      <c r="AB14" s="3" t="s">
        <v>1561</v>
      </c>
      <c r="AC14" s="4"/>
      <c r="AD14" s="3" t="s">
        <v>971</v>
      </c>
      <c r="AE14" s="4"/>
      <c r="AF14" s="4"/>
      <c r="AG14" s="4"/>
      <c r="AH14" s="3" t="s">
        <v>969</v>
      </c>
      <c r="AI14" s="3" t="s">
        <v>1563</v>
      </c>
      <c r="AJ14" s="3" t="s">
        <v>966</v>
      </c>
      <c r="AK14" s="4"/>
      <c r="AL14" s="3" t="s">
        <v>1564</v>
      </c>
      <c r="AM14" s="3" t="s">
        <v>1565</v>
      </c>
      <c r="AN14" s="3" t="s">
        <v>1566</v>
      </c>
      <c r="AO14" s="3" t="s">
        <v>1567</v>
      </c>
      <c r="AP14" s="3" t="s">
        <v>1568</v>
      </c>
      <c r="AQ14" s="3" t="s">
        <v>1569</v>
      </c>
      <c r="AR14" s="3" t="s">
        <v>1570</v>
      </c>
      <c r="AS14" s="3" t="s">
        <v>971</v>
      </c>
      <c r="AT14" s="3" t="s">
        <v>969</v>
      </c>
      <c r="AU14" s="3" t="s">
        <v>1039</v>
      </c>
      <c r="AV14" s="3" t="s">
        <v>1571</v>
      </c>
      <c r="AW14" s="3" t="s">
        <v>1499</v>
      </c>
      <c r="AX14" s="3" t="s">
        <v>969</v>
      </c>
      <c r="AY14" s="27">
        <v>15.99</v>
      </c>
      <c r="AZ14" s="5" t="s">
        <v>27</v>
      </c>
      <c r="BA14" s="5" t="s">
        <v>22</v>
      </c>
    </row>
    <row r="15" ht="15.75" customHeight="1">
      <c r="A15" s="45">
        <v>14.0</v>
      </c>
      <c r="B15" s="46">
        <v>90.0</v>
      </c>
      <c r="C15" s="21" t="s">
        <v>24</v>
      </c>
      <c r="D15" s="3" t="s">
        <v>953</v>
      </c>
      <c r="E15" s="25">
        <v>46203.825</v>
      </c>
      <c r="F15" s="3" t="s">
        <v>157</v>
      </c>
      <c r="G15" s="3" t="s">
        <v>157</v>
      </c>
      <c r="H15" s="3" t="s">
        <v>1572</v>
      </c>
      <c r="I15" s="3" t="s">
        <v>1572</v>
      </c>
      <c r="J15" s="3" t="s">
        <v>1573</v>
      </c>
      <c r="K15" s="3" t="s">
        <v>1574</v>
      </c>
      <c r="L15" s="3" t="s">
        <v>1575</v>
      </c>
      <c r="M15" s="26">
        <v>35438.0</v>
      </c>
      <c r="N15" s="3" t="s">
        <v>1576</v>
      </c>
      <c r="O15" s="3" t="s">
        <v>1575</v>
      </c>
      <c r="P15" s="4"/>
      <c r="Q15" s="4"/>
      <c r="R15" s="4"/>
      <c r="S15" s="3" t="s">
        <v>1577</v>
      </c>
      <c r="T15" s="3" t="s">
        <v>1578</v>
      </c>
      <c r="U15" s="3" t="s">
        <v>1579</v>
      </c>
      <c r="V15" s="3" t="s">
        <v>1580</v>
      </c>
      <c r="W15" s="3" t="s">
        <v>1581</v>
      </c>
      <c r="X15" s="3" t="s">
        <v>1582</v>
      </c>
      <c r="Y15" s="3" t="s">
        <v>971</v>
      </c>
      <c r="Z15" s="3" t="s">
        <v>1583</v>
      </c>
      <c r="AA15" s="3" t="s">
        <v>971</v>
      </c>
      <c r="AB15" s="4"/>
      <c r="AC15" s="3" t="s">
        <v>6</v>
      </c>
      <c r="AD15" s="3" t="s">
        <v>1584</v>
      </c>
      <c r="AE15" s="3" t="s">
        <v>1585</v>
      </c>
      <c r="AF15" s="3" t="s">
        <v>1586</v>
      </c>
      <c r="AG15" s="3" t="s">
        <v>1030</v>
      </c>
      <c r="AH15" s="3" t="s">
        <v>969</v>
      </c>
      <c r="AI15" s="3" t="s">
        <v>1587</v>
      </c>
      <c r="AJ15" s="3" t="s">
        <v>6</v>
      </c>
      <c r="AK15" s="3" t="s">
        <v>1588</v>
      </c>
      <c r="AL15" s="3" t="s">
        <v>1589</v>
      </c>
      <c r="AM15" s="3" t="s">
        <v>1590</v>
      </c>
      <c r="AN15" s="3" t="s">
        <v>1591</v>
      </c>
      <c r="AO15" s="3" t="s">
        <v>1592</v>
      </c>
      <c r="AP15" s="3" t="s">
        <v>1593</v>
      </c>
      <c r="AQ15" s="3" t="s">
        <v>1594</v>
      </c>
      <c r="AR15" s="3" t="s">
        <v>1595</v>
      </c>
      <c r="AS15" s="3" t="s">
        <v>969</v>
      </c>
      <c r="AT15" s="3" t="s">
        <v>969</v>
      </c>
      <c r="AU15" s="3" t="s">
        <v>981</v>
      </c>
      <c r="AV15" s="3" t="s">
        <v>982</v>
      </c>
      <c r="AW15" s="3" t="s">
        <v>1596</v>
      </c>
      <c r="AX15" s="3" t="s">
        <v>969</v>
      </c>
      <c r="AY15" s="27">
        <v>15.99</v>
      </c>
      <c r="AZ15" s="5" t="s">
        <v>85</v>
      </c>
      <c r="BA15" s="5" t="s">
        <v>22</v>
      </c>
    </row>
    <row r="16" ht="15.75" customHeight="1">
      <c r="A16" s="47">
        <v>15.0</v>
      </c>
      <c r="B16" s="46">
        <v>70.0</v>
      </c>
      <c r="C16" s="21" t="s">
        <v>24</v>
      </c>
      <c r="D16" s="3" t="s">
        <v>953</v>
      </c>
      <c r="E16" s="25">
        <v>46197.96388888889</v>
      </c>
      <c r="F16" s="3" t="s">
        <v>884</v>
      </c>
      <c r="G16" s="3" t="s">
        <v>1597</v>
      </c>
      <c r="H16" s="3" t="s">
        <v>114</v>
      </c>
      <c r="I16" s="3" t="s">
        <v>1598</v>
      </c>
      <c r="J16" s="3" t="s">
        <v>1599</v>
      </c>
      <c r="K16" s="3" t="s">
        <v>189</v>
      </c>
      <c r="L16" s="3" t="s">
        <v>1600</v>
      </c>
      <c r="M16" s="26">
        <v>35854.0</v>
      </c>
      <c r="N16" s="3" t="s">
        <v>1601</v>
      </c>
      <c r="O16" s="3" t="s">
        <v>1602</v>
      </c>
      <c r="P16" s="4"/>
      <c r="Q16" s="3" t="s">
        <v>1603</v>
      </c>
      <c r="R16" s="3" t="s">
        <v>1604</v>
      </c>
      <c r="S16" s="3" t="s">
        <v>1605</v>
      </c>
      <c r="T16" s="3" t="s">
        <v>1606</v>
      </c>
      <c r="U16" s="3" t="s">
        <v>1124</v>
      </c>
      <c r="V16" s="3" t="s">
        <v>1397</v>
      </c>
      <c r="W16" s="3" t="s">
        <v>1397</v>
      </c>
      <c r="X16" s="3" t="s">
        <v>1607</v>
      </c>
      <c r="Y16" s="3" t="s">
        <v>971</v>
      </c>
      <c r="Z16" s="3" t="s">
        <v>1128</v>
      </c>
      <c r="AA16" s="3" t="s">
        <v>971</v>
      </c>
      <c r="AB16" s="4"/>
      <c r="AC16" s="3" t="s">
        <v>969</v>
      </c>
      <c r="AD16" s="3" t="s">
        <v>1608</v>
      </c>
      <c r="AE16" s="3" t="s">
        <v>1609</v>
      </c>
      <c r="AF16" s="3" t="s">
        <v>1610</v>
      </c>
      <c r="AG16" s="3" t="s">
        <v>1611</v>
      </c>
      <c r="AH16" s="3" t="s">
        <v>969</v>
      </c>
      <c r="AI16" s="3" t="s">
        <v>1612</v>
      </c>
      <c r="AJ16" s="3" t="s">
        <v>1613</v>
      </c>
      <c r="AK16" s="4"/>
      <c r="AL16" s="3" t="s">
        <v>1614</v>
      </c>
      <c r="AM16" s="3" t="s">
        <v>1615</v>
      </c>
      <c r="AN16" s="3" t="s">
        <v>1616</v>
      </c>
      <c r="AO16" s="3" t="s">
        <v>1617</v>
      </c>
      <c r="AP16" s="3" t="s">
        <v>1618</v>
      </c>
      <c r="AQ16" s="3" t="s">
        <v>1619</v>
      </c>
      <c r="AR16" s="3" t="s">
        <v>1620</v>
      </c>
      <c r="AS16" s="3" t="s">
        <v>969</v>
      </c>
      <c r="AT16" s="3" t="s">
        <v>969</v>
      </c>
      <c r="AU16" s="3" t="s">
        <v>1039</v>
      </c>
      <c r="AV16" s="3" t="s">
        <v>1621</v>
      </c>
      <c r="AW16" s="3" t="s">
        <v>1288</v>
      </c>
      <c r="AX16" s="3" t="s">
        <v>969</v>
      </c>
      <c r="AY16" s="27">
        <v>15.99</v>
      </c>
      <c r="AZ16" s="5" t="s">
        <v>27</v>
      </c>
      <c r="BA16" s="5" t="s">
        <v>43</v>
      </c>
    </row>
    <row r="17" ht="15.75" customHeight="1">
      <c r="A17" s="45">
        <v>16.0</v>
      </c>
      <c r="B17" s="46">
        <v>65.0</v>
      </c>
      <c r="C17" s="21" t="s">
        <v>24</v>
      </c>
      <c r="D17" s="3" t="s">
        <v>953</v>
      </c>
      <c r="E17" s="25">
        <v>46196.95416666667</v>
      </c>
      <c r="F17" s="3" t="s">
        <v>864</v>
      </c>
      <c r="G17" s="3" t="s">
        <v>864</v>
      </c>
      <c r="H17" s="3" t="s">
        <v>103</v>
      </c>
      <c r="I17" s="3" t="s">
        <v>1622</v>
      </c>
      <c r="J17" s="3" t="s">
        <v>1623</v>
      </c>
      <c r="K17" s="3" t="s">
        <v>1624</v>
      </c>
      <c r="L17" s="3" t="s">
        <v>1625</v>
      </c>
      <c r="M17" s="26">
        <v>36470.0</v>
      </c>
      <c r="N17" s="3" t="s">
        <v>1626</v>
      </c>
      <c r="O17" s="3" t="s">
        <v>1627</v>
      </c>
      <c r="P17" s="3" t="s">
        <v>1628</v>
      </c>
      <c r="Q17" s="3" t="s">
        <v>1629</v>
      </c>
      <c r="R17" s="3" t="s">
        <v>1630</v>
      </c>
      <c r="S17" s="3" t="s">
        <v>1631</v>
      </c>
      <c r="T17" s="3" t="s">
        <v>1632</v>
      </c>
      <c r="U17" s="3" t="s">
        <v>1633</v>
      </c>
      <c r="V17" s="3" t="s">
        <v>1634</v>
      </c>
      <c r="W17" s="3" t="s">
        <v>1635</v>
      </c>
      <c r="X17" s="3" t="s">
        <v>1636</v>
      </c>
      <c r="Y17" s="3" t="s">
        <v>969</v>
      </c>
      <c r="Z17" s="3" t="s">
        <v>1637</v>
      </c>
      <c r="AA17" s="3" t="s">
        <v>971</v>
      </c>
      <c r="AB17" s="4"/>
      <c r="AC17" s="3" t="s">
        <v>6</v>
      </c>
      <c r="AD17" s="3" t="s">
        <v>1638</v>
      </c>
      <c r="AE17" s="3" t="s">
        <v>1639</v>
      </c>
      <c r="AF17" s="3" t="s">
        <v>1250</v>
      </c>
      <c r="AG17" s="3" t="s">
        <v>1640</v>
      </c>
      <c r="AH17" s="3" t="s">
        <v>971</v>
      </c>
      <c r="AI17" s="4"/>
      <c r="AJ17" s="3" t="s">
        <v>1641</v>
      </c>
      <c r="AK17" s="4"/>
      <c r="AL17" s="3" t="s">
        <v>1642</v>
      </c>
      <c r="AM17" s="3" t="s">
        <v>1643</v>
      </c>
      <c r="AN17" s="3" t="s">
        <v>1644</v>
      </c>
      <c r="AO17" s="3" t="s">
        <v>1645</v>
      </c>
      <c r="AP17" s="3" t="s">
        <v>1646</v>
      </c>
      <c r="AQ17" s="3" t="s">
        <v>1647</v>
      </c>
      <c r="AR17" s="3" t="s">
        <v>1648</v>
      </c>
      <c r="AS17" s="3" t="s">
        <v>971</v>
      </c>
      <c r="AT17" s="3" t="s">
        <v>969</v>
      </c>
      <c r="AU17" s="3" t="s">
        <v>1260</v>
      </c>
      <c r="AV17" s="3" t="s">
        <v>1649</v>
      </c>
      <c r="AW17" s="4"/>
      <c r="AX17" s="3" t="s">
        <v>969</v>
      </c>
      <c r="AY17" s="27">
        <v>15.99</v>
      </c>
      <c r="AZ17" s="5" t="s">
        <v>27</v>
      </c>
      <c r="BA17" s="5" t="s">
        <v>43</v>
      </c>
    </row>
    <row r="18" ht="15.75" customHeight="1">
      <c r="A18" s="45">
        <v>17.0</v>
      </c>
      <c r="B18" s="46">
        <v>56.0</v>
      </c>
      <c r="C18" s="21" t="s">
        <v>24</v>
      </c>
      <c r="D18" s="3" t="s">
        <v>953</v>
      </c>
      <c r="E18" s="25">
        <v>46192.91805555556</v>
      </c>
      <c r="F18" s="3" t="s">
        <v>87</v>
      </c>
      <c r="G18" s="3" t="s">
        <v>1650</v>
      </c>
      <c r="H18" s="3" t="s">
        <v>574</v>
      </c>
      <c r="I18" s="3" t="s">
        <v>1651</v>
      </c>
      <c r="J18" s="3" t="s">
        <v>1652</v>
      </c>
      <c r="K18" s="3" t="s">
        <v>1653</v>
      </c>
      <c r="L18" s="3" t="s">
        <v>1654</v>
      </c>
      <c r="M18" s="26">
        <v>31778.0</v>
      </c>
      <c r="N18" s="3" t="s">
        <v>1655</v>
      </c>
      <c r="O18" s="3" t="s">
        <v>1656</v>
      </c>
      <c r="P18" s="3" t="s">
        <v>1657</v>
      </c>
      <c r="Q18" s="3" t="s">
        <v>1658</v>
      </c>
      <c r="R18" s="3" t="s">
        <v>1659</v>
      </c>
      <c r="S18" s="3" t="s">
        <v>1660</v>
      </c>
      <c r="T18" s="3" t="s">
        <v>1661</v>
      </c>
      <c r="U18" s="3" t="s">
        <v>1662</v>
      </c>
      <c r="V18" s="3" t="s">
        <v>1663</v>
      </c>
      <c r="W18" s="3" t="s">
        <v>1664</v>
      </c>
      <c r="X18" s="3" t="s">
        <v>1665</v>
      </c>
      <c r="Y18" s="3" t="s">
        <v>969</v>
      </c>
      <c r="Z18" s="3" t="s">
        <v>1666</v>
      </c>
      <c r="AA18" s="3" t="s">
        <v>971</v>
      </c>
      <c r="AB18" s="4"/>
      <c r="AC18" s="4"/>
      <c r="AD18" s="3" t="s">
        <v>1667</v>
      </c>
      <c r="AE18" s="4"/>
      <c r="AF18" s="3" t="s">
        <v>1250</v>
      </c>
      <c r="AG18" s="3" t="s">
        <v>1668</v>
      </c>
      <c r="AH18" s="3" t="s">
        <v>969</v>
      </c>
      <c r="AI18" s="3" t="s">
        <v>1669</v>
      </c>
      <c r="AJ18" s="3" t="s">
        <v>971</v>
      </c>
      <c r="AK18" s="4"/>
      <c r="AL18" s="3" t="s">
        <v>1670</v>
      </c>
      <c r="AM18" s="3" t="s">
        <v>1671</v>
      </c>
      <c r="AN18" s="3" t="s">
        <v>1672</v>
      </c>
      <c r="AO18" s="3" t="s">
        <v>1673</v>
      </c>
      <c r="AP18" s="3" t="s">
        <v>1674</v>
      </c>
      <c r="AQ18" s="3" t="s">
        <v>1675</v>
      </c>
      <c r="AR18" s="3" t="s">
        <v>1676</v>
      </c>
      <c r="AS18" s="3" t="s">
        <v>969</v>
      </c>
      <c r="AT18" s="3" t="s">
        <v>969</v>
      </c>
      <c r="AU18" s="3" t="s">
        <v>1260</v>
      </c>
      <c r="AV18" s="3" t="s">
        <v>1677</v>
      </c>
      <c r="AW18" s="4"/>
      <c r="AX18" s="3" t="s">
        <v>969</v>
      </c>
      <c r="AY18" s="27">
        <v>15.99</v>
      </c>
      <c r="AZ18" s="5" t="s">
        <v>85</v>
      </c>
      <c r="BA18" s="5" t="s">
        <v>22</v>
      </c>
    </row>
    <row r="19" ht="15.75" customHeight="1">
      <c r="A19" s="47">
        <v>18.0</v>
      </c>
      <c r="B19" s="46">
        <v>40.0</v>
      </c>
      <c r="C19" s="21" t="s">
        <v>24</v>
      </c>
      <c r="D19" s="3" t="s">
        <v>953</v>
      </c>
      <c r="E19" s="25">
        <v>46188.92291666667</v>
      </c>
      <c r="F19" s="3" t="s">
        <v>60</v>
      </c>
      <c r="G19" s="3" t="s">
        <v>60</v>
      </c>
      <c r="H19" s="3" t="s">
        <v>781</v>
      </c>
      <c r="I19" s="3" t="s">
        <v>1678</v>
      </c>
      <c r="J19" s="3" t="s">
        <v>1679</v>
      </c>
      <c r="K19" s="3" t="s">
        <v>1361</v>
      </c>
      <c r="L19" s="3" t="s">
        <v>1680</v>
      </c>
      <c r="M19" s="26">
        <v>33390.0</v>
      </c>
      <c r="N19" s="3" t="s">
        <v>1681</v>
      </c>
      <c r="O19" s="3" t="s">
        <v>1682</v>
      </c>
      <c r="P19" s="3" t="s">
        <v>1683</v>
      </c>
      <c r="Q19" s="3" t="s">
        <v>1684</v>
      </c>
      <c r="R19" s="3" t="s">
        <v>1684</v>
      </c>
      <c r="S19" s="3" t="s">
        <v>1685</v>
      </c>
      <c r="T19" s="3" t="s">
        <v>1686</v>
      </c>
      <c r="U19" s="3" t="s">
        <v>1662</v>
      </c>
      <c r="V19" s="3" t="s">
        <v>1687</v>
      </c>
      <c r="W19" s="3" t="s">
        <v>1688</v>
      </c>
      <c r="X19" s="3" t="s">
        <v>1689</v>
      </c>
      <c r="Y19" s="3" t="s">
        <v>969</v>
      </c>
      <c r="Z19" s="3" t="s">
        <v>1690</v>
      </c>
      <c r="AA19" s="3" t="s">
        <v>971</v>
      </c>
      <c r="AB19" s="3" t="s">
        <v>1684</v>
      </c>
      <c r="AC19" s="3" t="s">
        <v>969</v>
      </c>
      <c r="AD19" s="3" t="s">
        <v>969</v>
      </c>
      <c r="AE19" s="3" t="s">
        <v>1691</v>
      </c>
      <c r="AF19" s="3" t="s">
        <v>1692</v>
      </c>
      <c r="AG19" s="3" t="s">
        <v>1693</v>
      </c>
      <c r="AH19" s="3" t="s">
        <v>969</v>
      </c>
      <c r="AI19" s="3" t="s">
        <v>1694</v>
      </c>
      <c r="AJ19" s="3" t="s">
        <v>1695</v>
      </c>
      <c r="AK19" s="3" t="s">
        <v>1696</v>
      </c>
      <c r="AL19" s="3" t="s">
        <v>1697</v>
      </c>
      <c r="AM19" s="3" t="s">
        <v>1698</v>
      </c>
      <c r="AN19" s="3" t="s">
        <v>1699</v>
      </c>
      <c r="AO19" s="3" t="s">
        <v>1700</v>
      </c>
      <c r="AP19" s="3" t="s">
        <v>1701</v>
      </c>
      <c r="AQ19" s="3" t="s">
        <v>1702</v>
      </c>
      <c r="AR19" s="3" t="s">
        <v>1703</v>
      </c>
      <c r="AS19" s="3" t="s">
        <v>969</v>
      </c>
      <c r="AT19" s="3" t="s">
        <v>969</v>
      </c>
      <c r="AU19" s="3" t="s">
        <v>1039</v>
      </c>
      <c r="AV19" s="3" t="s">
        <v>918</v>
      </c>
      <c r="AW19" s="3" t="s">
        <v>1704</v>
      </c>
      <c r="AX19" s="3" t="s">
        <v>969</v>
      </c>
      <c r="AY19" s="27">
        <v>15.99</v>
      </c>
      <c r="AZ19" s="5" t="s">
        <v>27</v>
      </c>
      <c r="BA19" s="5" t="s">
        <v>22</v>
      </c>
    </row>
    <row r="20" ht="15.75" customHeight="1">
      <c r="A20" s="45">
        <v>19.0</v>
      </c>
      <c r="B20" s="46">
        <v>20.0</v>
      </c>
      <c r="C20" s="21" t="s">
        <v>24</v>
      </c>
      <c r="D20" s="3" t="s">
        <v>953</v>
      </c>
      <c r="E20" s="25">
        <v>46176.02013888889</v>
      </c>
      <c r="F20" s="3" t="s">
        <v>33</v>
      </c>
      <c r="G20" s="3" t="s">
        <v>33</v>
      </c>
      <c r="H20" s="3" t="s">
        <v>443</v>
      </c>
      <c r="I20" s="3" t="s">
        <v>1705</v>
      </c>
      <c r="J20" s="3" t="s">
        <v>1706</v>
      </c>
      <c r="K20" s="3" t="s">
        <v>1707</v>
      </c>
      <c r="L20" s="3" t="s">
        <v>1708</v>
      </c>
      <c r="M20" s="26">
        <v>37803.0</v>
      </c>
      <c r="N20" s="3" t="s">
        <v>1709</v>
      </c>
      <c r="O20" s="3" t="s">
        <v>1710</v>
      </c>
      <c r="P20" s="3" t="s">
        <v>1711</v>
      </c>
      <c r="Q20" s="4"/>
      <c r="R20" s="4"/>
      <c r="S20" s="3" t="s">
        <v>1712</v>
      </c>
      <c r="T20" s="3" t="s">
        <v>1713</v>
      </c>
      <c r="U20" s="3" t="s">
        <v>1184</v>
      </c>
      <c r="V20" s="3" t="s">
        <v>1714</v>
      </c>
      <c r="W20" s="3" t="s">
        <v>1715</v>
      </c>
      <c r="X20" s="3" t="s">
        <v>1716</v>
      </c>
      <c r="Y20" s="3" t="s">
        <v>969</v>
      </c>
      <c r="Z20" s="3" t="s">
        <v>1707</v>
      </c>
      <c r="AA20" s="3" t="s">
        <v>971</v>
      </c>
      <c r="AB20" s="3" t="s">
        <v>1716</v>
      </c>
      <c r="AC20" s="3" t="s">
        <v>6</v>
      </c>
      <c r="AD20" s="3" t="s">
        <v>1717</v>
      </c>
      <c r="AE20" s="4"/>
      <c r="AF20" s="3" t="s">
        <v>1718</v>
      </c>
      <c r="AG20" s="3" t="s">
        <v>1719</v>
      </c>
      <c r="AH20" s="3" t="s">
        <v>971</v>
      </c>
      <c r="AI20" s="4"/>
      <c r="AJ20" s="3" t="s">
        <v>1720</v>
      </c>
      <c r="AK20" s="3" t="s">
        <v>1721</v>
      </c>
      <c r="AL20" s="3" t="s">
        <v>1722</v>
      </c>
      <c r="AM20" s="3" t="s">
        <v>1723</v>
      </c>
      <c r="AN20" s="3" t="s">
        <v>1724</v>
      </c>
      <c r="AO20" s="3" t="s">
        <v>1725</v>
      </c>
      <c r="AP20" s="3" t="s">
        <v>1726</v>
      </c>
      <c r="AQ20" s="3" t="s">
        <v>1727</v>
      </c>
      <c r="AR20" s="3" t="s">
        <v>1728</v>
      </c>
      <c r="AS20" s="3" t="s">
        <v>969</v>
      </c>
      <c r="AT20" s="3" t="s">
        <v>969</v>
      </c>
      <c r="AU20" s="3" t="s">
        <v>981</v>
      </c>
      <c r="AV20" s="3" t="s">
        <v>1729</v>
      </c>
      <c r="AW20" s="3" t="s">
        <v>1288</v>
      </c>
      <c r="AX20" s="3" t="s">
        <v>969</v>
      </c>
      <c r="AY20" s="27">
        <v>15.99</v>
      </c>
      <c r="AZ20" s="5" t="s">
        <v>27</v>
      </c>
      <c r="BA20" s="5" t="s">
        <v>22</v>
      </c>
    </row>
    <row r="21" ht="15.75" customHeight="1">
      <c r="A21" s="45">
        <v>20.0</v>
      </c>
      <c r="B21" s="46">
        <v>183.0</v>
      </c>
      <c r="C21" s="5" t="s">
        <v>24</v>
      </c>
      <c r="D21" s="3" t="s">
        <v>953</v>
      </c>
      <c r="E21" s="25">
        <v>46215.86875</v>
      </c>
      <c r="F21" s="3" t="s">
        <v>341</v>
      </c>
      <c r="G21" s="3" t="s">
        <v>341</v>
      </c>
      <c r="H21" s="3" t="s">
        <v>501</v>
      </c>
      <c r="I21" s="3" t="s">
        <v>1730</v>
      </c>
      <c r="J21" s="3" t="s">
        <v>1731</v>
      </c>
      <c r="K21" s="3" t="s">
        <v>1015</v>
      </c>
      <c r="L21" s="3" t="s">
        <v>1732</v>
      </c>
      <c r="M21" s="26">
        <v>38771.0</v>
      </c>
      <c r="N21" s="3" t="s">
        <v>1733</v>
      </c>
      <c r="O21" s="3" t="s">
        <v>1734</v>
      </c>
      <c r="P21" s="3" t="s">
        <v>1735</v>
      </c>
      <c r="Q21" s="4"/>
      <c r="R21" s="4"/>
      <c r="S21" s="3" t="s">
        <v>1736</v>
      </c>
      <c r="T21" s="3" t="s">
        <v>1737</v>
      </c>
      <c r="U21" s="3" t="s">
        <v>1738</v>
      </c>
      <c r="V21" s="3" t="s">
        <v>1739</v>
      </c>
      <c r="W21" s="3" t="s">
        <v>1740</v>
      </c>
      <c r="X21" s="3" t="s">
        <v>1741</v>
      </c>
      <c r="Y21" s="3" t="s">
        <v>969</v>
      </c>
      <c r="Z21" s="3" t="s">
        <v>1026</v>
      </c>
      <c r="AA21" s="3" t="s">
        <v>971</v>
      </c>
      <c r="AB21" s="3" t="s">
        <v>1741</v>
      </c>
      <c r="AC21" s="3" t="s">
        <v>1742</v>
      </c>
      <c r="AD21" s="3" t="s">
        <v>1743</v>
      </c>
      <c r="AE21" s="3" t="s">
        <v>1744</v>
      </c>
      <c r="AF21" s="3" t="s">
        <v>1745</v>
      </c>
      <c r="AG21" s="3" t="s">
        <v>1746</v>
      </c>
      <c r="AH21" s="3" t="s">
        <v>971</v>
      </c>
      <c r="AI21" s="4"/>
      <c r="AJ21" s="3" t="s">
        <v>6</v>
      </c>
      <c r="AK21" s="3" t="s">
        <v>1747</v>
      </c>
      <c r="AL21" s="3" t="s">
        <v>1748</v>
      </c>
      <c r="AM21" s="3" t="s">
        <v>1749</v>
      </c>
      <c r="AN21" s="3" t="s">
        <v>1750</v>
      </c>
      <c r="AO21" s="3" t="s">
        <v>1751</v>
      </c>
      <c r="AP21" s="3" t="s">
        <v>1752</v>
      </c>
      <c r="AQ21" s="3" t="s">
        <v>1753</v>
      </c>
      <c r="AR21" s="3" t="s">
        <v>1754</v>
      </c>
      <c r="AS21" s="3" t="s">
        <v>969</v>
      </c>
      <c r="AT21" s="3" t="s">
        <v>969</v>
      </c>
      <c r="AU21" s="3" t="s">
        <v>1039</v>
      </c>
      <c r="AV21" s="3" t="s">
        <v>917</v>
      </c>
      <c r="AW21" s="3" t="s">
        <v>1755</v>
      </c>
      <c r="AX21" s="3" t="s">
        <v>969</v>
      </c>
      <c r="AY21" s="27">
        <v>15.99</v>
      </c>
      <c r="AZ21" s="5" t="s">
        <v>24</v>
      </c>
      <c r="BA21" s="5" t="s">
        <v>22</v>
      </c>
    </row>
    <row r="22" ht="15.75" customHeight="1">
      <c r="A22" s="47">
        <v>21.0</v>
      </c>
      <c r="B22" s="46">
        <v>178.0</v>
      </c>
      <c r="C22" s="5" t="s">
        <v>24</v>
      </c>
      <c r="D22" s="3" t="s">
        <v>953</v>
      </c>
      <c r="E22" s="25">
        <v>46215.43263888889</v>
      </c>
      <c r="F22" s="3" t="s">
        <v>837</v>
      </c>
      <c r="G22" s="3" t="s">
        <v>1756</v>
      </c>
      <c r="H22" s="3" t="s">
        <v>335</v>
      </c>
      <c r="I22" s="3" t="s">
        <v>1757</v>
      </c>
      <c r="J22" s="3" t="s">
        <v>1758</v>
      </c>
      <c r="K22" s="3" t="s">
        <v>1094</v>
      </c>
      <c r="L22" s="3" t="s">
        <v>1759</v>
      </c>
      <c r="M22" s="26">
        <v>38868.0</v>
      </c>
      <c r="N22" s="3" t="s">
        <v>1760</v>
      </c>
      <c r="O22" s="3" t="s">
        <v>1761</v>
      </c>
      <c r="P22" s="3" t="s">
        <v>1762</v>
      </c>
      <c r="Q22" s="3" t="s">
        <v>1763</v>
      </c>
      <c r="R22" s="4"/>
      <c r="S22" s="3" t="s">
        <v>1764</v>
      </c>
      <c r="T22" s="3" t="s">
        <v>1765</v>
      </c>
      <c r="U22" s="3" t="s">
        <v>1766</v>
      </c>
      <c r="V22" s="3" t="s">
        <v>1767</v>
      </c>
      <c r="W22" s="3" t="s">
        <v>1768</v>
      </c>
      <c r="X22" s="3" t="s">
        <v>1769</v>
      </c>
      <c r="Y22" s="3" t="s">
        <v>969</v>
      </c>
      <c r="Z22" s="3" t="s">
        <v>1321</v>
      </c>
      <c r="AA22" s="3" t="s">
        <v>969</v>
      </c>
      <c r="AB22" s="3" t="s">
        <v>1770</v>
      </c>
      <c r="AC22" s="3" t="s">
        <v>1771</v>
      </c>
      <c r="AD22" s="3" t="s">
        <v>1772</v>
      </c>
      <c r="AE22" s="3" t="s">
        <v>1773</v>
      </c>
      <c r="AF22" s="3" t="s">
        <v>1774</v>
      </c>
      <c r="AG22" s="3" t="s">
        <v>1775</v>
      </c>
      <c r="AH22" s="3" t="s">
        <v>971</v>
      </c>
      <c r="AI22" s="4"/>
      <c r="AJ22" s="3" t="s">
        <v>1776</v>
      </c>
      <c r="AK22" s="3" t="s">
        <v>1777</v>
      </c>
      <c r="AL22" s="3" t="s">
        <v>1778</v>
      </c>
      <c r="AM22" s="3" t="s">
        <v>1779</v>
      </c>
      <c r="AN22" s="3" t="s">
        <v>1780</v>
      </c>
      <c r="AO22" s="3" t="s">
        <v>1781</v>
      </c>
      <c r="AP22" s="3" t="s">
        <v>1782</v>
      </c>
      <c r="AQ22" s="3" t="s">
        <v>1783</v>
      </c>
      <c r="AR22" s="3" t="s">
        <v>1784</v>
      </c>
      <c r="AS22" s="3" t="s">
        <v>969</v>
      </c>
      <c r="AT22" s="3" t="s">
        <v>969</v>
      </c>
      <c r="AU22" s="3" t="s">
        <v>1039</v>
      </c>
      <c r="AV22" s="3" t="s">
        <v>1498</v>
      </c>
      <c r="AW22" s="3" t="s">
        <v>1785</v>
      </c>
      <c r="AX22" s="3" t="s">
        <v>969</v>
      </c>
      <c r="AY22" s="27">
        <v>15.99</v>
      </c>
      <c r="AZ22" s="5" t="s">
        <v>24</v>
      </c>
      <c r="BA22" s="5" t="s">
        <v>43</v>
      </c>
    </row>
    <row r="23" ht="15.75" customHeight="1">
      <c r="A23" s="45">
        <v>22.0</v>
      </c>
      <c r="B23" s="46">
        <v>177.0</v>
      </c>
      <c r="C23" s="5" t="s">
        <v>24</v>
      </c>
      <c r="D23" s="3" t="s">
        <v>953</v>
      </c>
      <c r="E23" s="25">
        <v>46215.13194444445</v>
      </c>
      <c r="F23" s="3" t="s">
        <v>333</v>
      </c>
      <c r="G23" s="3" t="s">
        <v>1786</v>
      </c>
      <c r="H23" s="3" t="s">
        <v>642</v>
      </c>
      <c r="I23" s="3" t="s">
        <v>1787</v>
      </c>
      <c r="J23" s="3" t="s">
        <v>1788</v>
      </c>
      <c r="K23" s="3" t="s">
        <v>1789</v>
      </c>
      <c r="L23" s="3" t="s">
        <v>1790</v>
      </c>
      <c r="M23" s="26">
        <v>36570.0</v>
      </c>
      <c r="N23" s="3" t="s">
        <v>1791</v>
      </c>
      <c r="O23" s="3" t="s">
        <v>1792</v>
      </c>
      <c r="P23" s="3" t="s">
        <v>1793</v>
      </c>
      <c r="Q23" s="3" t="s">
        <v>1794</v>
      </c>
      <c r="R23" s="3" t="s">
        <v>1795</v>
      </c>
      <c r="S23" s="3" t="s">
        <v>1796</v>
      </c>
      <c r="T23" s="3" t="s">
        <v>1797</v>
      </c>
      <c r="U23" s="3" t="s">
        <v>1798</v>
      </c>
      <c r="V23" s="3" t="s">
        <v>1050</v>
      </c>
      <c r="W23" s="3" t="s">
        <v>1799</v>
      </c>
      <c r="X23" s="3" t="s">
        <v>1800</v>
      </c>
      <c r="Y23" s="3" t="s">
        <v>969</v>
      </c>
      <c r="Z23" s="3" t="s">
        <v>1801</v>
      </c>
      <c r="AA23" s="3" t="s">
        <v>971</v>
      </c>
      <c r="AB23" s="4"/>
      <c r="AC23" s="3" t="s">
        <v>969</v>
      </c>
      <c r="AD23" s="3" t="s">
        <v>1802</v>
      </c>
      <c r="AE23" s="4"/>
      <c r="AF23" s="3" t="s">
        <v>1803</v>
      </c>
      <c r="AG23" s="3" t="s">
        <v>1804</v>
      </c>
      <c r="AH23" s="3" t="s">
        <v>971</v>
      </c>
      <c r="AI23" s="3" t="s">
        <v>1805</v>
      </c>
      <c r="AJ23" s="3" t="s">
        <v>969</v>
      </c>
      <c r="AK23" s="3" t="s">
        <v>1806</v>
      </c>
      <c r="AL23" s="3" t="s">
        <v>1807</v>
      </c>
      <c r="AM23" s="3" t="s">
        <v>1808</v>
      </c>
      <c r="AN23" s="3" t="s">
        <v>1809</v>
      </c>
      <c r="AO23" s="3" t="s">
        <v>1810</v>
      </c>
      <c r="AP23" s="3" t="s">
        <v>1811</v>
      </c>
      <c r="AQ23" s="3" t="s">
        <v>1812</v>
      </c>
      <c r="AR23" s="3" t="s">
        <v>1813</v>
      </c>
      <c r="AS23" s="3" t="s">
        <v>969</v>
      </c>
      <c r="AT23" s="3" t="s">
        <v>969</v>
      </c>
      <c r="AU23" s="3" t="s">
        <v>1039</v>
      </c>
      <c r="AV23" s="3" t="s">
        <v>1814</v>
      </c>
      <c r="AW23" s="3" t="s">
        <v>1039</v>
      </c>
      <c r="AX23" s="3" t="s">
        <v>969</v>
      </c>
      <c r="AY23" s="27">
        <v>15.99</v>
      </c>
      <c r="AZ23" s="5" t="s">
        <v>24</v>
      </c>
      <c r="BA23" s="5" t="s">
        <v>22</v>
      </c>
    </row>
    <row r="24" ht="15.75" customHeight="1">
      <c r="A24" s="45">
        <v>23.0</v>
      </c>
      <c r="B24" s="46">
        <v>176.0</v>
      </c>
      <c r="C24" s="5" t="s">
        <v>24</v>
      </c>
      <c r="D24" s="3" t="s">
        <v>953</v>
      </c>
      <c r="E24" s="25">
        <v>46214.94166666667</v>
      </c>
      <c r="F24" s="3" t="s">
        <v>331</v>
      </c>
      <c r="G24" s="3" t="s">
        <v>331</v>
      </c>
      <c r="H24" s="3" t="s">
        <v>786</v>
      </c>
      <c r="I24" s="3" t="s">
        <v>1815</v>
      </c>
      <c r="J24" s="3" t="s">
        <v>1816</v>
      </c>
      <c r="K24" s="3" t="s">
        <v>1015</v>
      </c>
      <c r="L24" s="3" t="s">
        <v>1817</v>
      </c>
      <c r="M24" s="26">
        <v>35682.0</v>
      </c>
      <c r="N24" s="3" t="s">
        <v>1818</v>
      </c>
      <c r="O24" s="3" t="s">
        <v>1819</v>
      </c>
      <c r="P24" s="3" t="s">
        <v>1820</v>
      </c>
      <c r="Q24" s="4"/>
      <c r="R24" s="4"/>
      <c r="S24" s="3" t="s">
        <v>1821</v>
      </c>
      <c r="T24" s="3" t="s">
        <v>1822</v>
      </c>
      <c r="U24" s="3" t="s">
        <v>1396</v>
      </c>
      <c r="V24" s="3" t="s">
        <v>1823</v>
      </c>
      <c r="W24" s="4"/>
      <c r="X24" s="3" t="s">
        <v>1824</v>
      </c>
      <c r="Y24" s="3" t="s">
        <v>971</v>
      </c>
      <c r="Z24" s="3" t="s">
        <v>1825</v>
      </c>
      <c r="AA24" s="3" t="s">
        <v>971</v>
      </c>
      <c r="AB24" s="4"/>
      <c r="AC24" s="4"/>
      <c r="AD24" s="3" t="s">
        <v>971</v>
      </c>
      <c r="AE24" s="4"/>
      <c r="AF24" s="4"/>
      <c r="AG24" s="4"/>
      <c r="AH24" s="3" t="s">
        <v>969</v>
      </c>
      <c r="AI24" s="3" t="s">
        <v>1826</v>
      </c>
      <c r="AJ24" s="4"/>
      <c r="AK24" s="4"/>
      <c r="AL24" s="3" t="s">
        <v>1827</v>
      </c>
      <c r="AM24" s="3" t="s">
        <v>1828</v>
      </c>
      <c r="AN24" s="3" t="s">
        <v>1829</v>
      </c>
      <c r="AO24" s="3" t="s">
        <v>1830</v>
      </c>
      <c r="AP24" s="3" t="s">
        <v>1831</v>
      </c>
      <c r="AQ24" s="3" t="s">
        <v>1832</v>
      </c>
      <c r="AR24" s="3" t="s">
        <v>1833</v>
      </c>
      <c r="AS24" s="3" t="s">
        <v>969</v>
      </c>
      <c r="AT24" s="3" t="s">
        <v>969</v>
      </c>
      <c r="AU24" s="3" t="s">
        <v>981</v>
      </c>
      <c r="AV24" s="3" t="s">
        <v>1834</v>
      </c>
      <c r="AW24" s="3" t="s">
        <v>1835</v>
      </c>
      <c r="AX24" s="3" t="s">
        <v>969</v>
      </c>
      <c r="AY24" s="27">
        <v>15.99</v>
      </c>
      <c r="AZ24" s="5" t="s">
        <v>24</v>
      </c>
      <c r="BA24" s="5" t="s">
        <v>22</v>
      </c>
    </row>
    <row r="25" ht="15.75" customHeight="1">
      <c r="A25" s="47">
        <v>24.0</v>
      </c>
      <c r="B25" s="46">
        <v>170.0</v>
      </c>
      <c r="C25" s="5" t="s">
        <v>24</v>
      </c>
      <c r="D25" s="3" t="s">
        <v>953</v>
      </c>
      <c r="E25" s="25">
        <v>46210.60972222222</v>
      </c>
      <c r="F25" s="3" t="s">
        <v>842</v>
      </c>
      <c r="G25" s="3" t="s">
        <v>842</v>
      </c>
      <c r="H25" s="3" t="s">
        <v>320</v>
      </c>
      <c r="I25" s="3" t="s">
        <v>1836</v>
      </c>
      <c r="J25" s="3" t="s">
        <v>1837</v>
      </c>
      <c r="K25" s="3" t="s">
        <v>1838</v>
      </c>
      <c r="L25" s="3" t="s">
        <v>1839</v>
      </c>
      <c r="M25" s="26">
        <v>35044.0</v>
      </c>
      <c r="N25" s="3" t="s">
        <v>1840</v>
      </c>
      <c r="O25" s="3" t="s">
        <v>1841</v>
      </c>
      <c r="P25" s="4"/>
      <c r="Q25" s="4"/>
      <c r="R25" s="4"/>
      <c r="S25" s="3" t="s">
        <v>1842</v>
      </c>
      <c r="T25" s="3" t="s">
        <v>1843</v>
      </c>
      <c r="U25" s="3" t="s">
        <v>1245</v>
      </c>
      <c r="V25" s="3" t="s">
        <v>1844</v>
      </c>
      <c r="W25" s="3" t="s">
        <v>1845</v>
      </c>
      <c r="X25" s="3" t="s">
        <v>1846</v>
      </c>
      <c r="Y25" s="3" t="s">
        <v>971</v>
      </c>
      <c r="Z25" s="3" t="s">
        <v>1080</v>
      </c>
      <c r="AA25" s="3" t="s">
        <v>969</v>
      </c>
      <c r="AB25" s="3" t="s">
        <v>1846</v>
      </c>
      <c r="AC25" s="3" t="s">
        <v>969</v>
      </c>
      <c r="AD25" s="3" t="s">
        <v>1847</v>
      </c>
      <c r="AE25" s="3" t="s">
        <v>1848</v>
      </c>
      <c r="AF25" s="3" t="s">
        <v>1849</v>
      </c>
      <c r="AG25" s="3" t="s">
        <v>1850</v>
      </c>
      <c r="AH25" s="3" t="s">
        <v>969</v>
      </c>
      <c r="AI25" s="3" t="s">
        <v>1851</v>
      </c>
      <c r="AJ25" s="3" t="s">
        <v>966</v>
      </c>
      <c r="AK25" s="4"/>
      <c r="AL25" s="3" t="s">
        <v>1852</v>
      </c>
      <c r="AM25" s="3" t="s">
        <v>1853</v>
      </c>
      <c r="AN25" s="3" t="s">
        <v>1854</v>
      </c>
      <c r="AO25" s="3" t="s">
        <v>1855</v>
      </c>
      <c r="AP25" s="3" t="s">
        <v>1856</v>
      </c>
      <c r="AQ25" s="3" t="s">
        <v>1857</v>
      </c>
      <c r="AR25" s="3" t="s">
        <v>1858</v>
      </c>
      <c r="AS25" s="3" t="s">
        <v>969</v>
      </c>
      <c r="AT25" s="3" t="s">
        <v>969</v>
      </c>
      <c r="AU25" s="3" t="s">
        <v>1039</v>
      </c>
      <c r="AV25" s="3" t="s">
        <v>1090</v>
      </c>
      <c r="AW25" s="3" t="s">
        <v>1859</v>
      </c>
      <c r="AX25" s="3" t="s">
        <v>969</v>
      </c>
      <c r="AY25" s="27">
        <v>15.99</v>
      </c>
      <c r="AZ25" s="5" t="s">
        <v>24</v>
      </c>
      <c r="BA25" s="5" t="s">
        <v>43</v>
      </c>
    </row>
    <row r="26" ht="15.75" customHeight="1">
      <c r="A26" s="45">
        <v>25.0</v>
      </c>
      <c r="B26" s="46">
        <v>166.0</v>
      </c>
      <c r="C26" s="5" t="s">
        <v>24</v>
      </c>
      <c r="D26" s="3" t="s">
        <v>953</v>
      </c>
      <c r="E26" s="25">
        <v>46209.13125</v>
      </c>
      <c r="F26" s="3" t="s">
        <v>1860</v>
      </c>
      <c r="G26" s="3" t="s">
        <v>1861</v>
      </c>
      <c r="H26" s="3" t="s">
        <v>702</v>
      </c>
      <c r="I26" s="3" t="s">
        <v>1862</v>
      </c>
      <c r="J26" s="3" t="s">
        <v>1863</v>
      </c>
      <c r="K26" s="3" t="s">
        <v>1864</v>
      </c>
      <c r="L26" s="3" t="s">
        <v>1865</v>
      </c>
      <c r="M26" s="26">
        <v>36165.0</v>
      </c>
      <c r="N26" s="3" t="s">
        <v>1866</v>
      </c>
      <c r="O26" s="3" t="s">
        <v>1867</v>
      </c>
      <c r="P26" s="4"/>
      <c r="Q26" s="4"/>
      <c r="R26" s="3" t="s">
        <v>1868</v>
      </c>
      <c r="S26" s="3" t="s">
        <v>1869</v>
      </c>
      <c r="T26" s="3" t="s">
        <v>1870</v>
      </c>
      <c r="U26" s="3" t="s">
        <v>1155</v>
      </c>
      <c r="V26" s="3" t="s">
        <v>1871</v>
      </c>
      <c r="W26" s="3" t="s">
        <v>1872</v>
      </c>
      <c r="X26" s="3" t="s">
        <v>1873</v>
      </c>
      <c r="Y26" s="3" t="s">
        <v>971</v>
      </c>
      <c r="Z26" s="3" t="s">
        <v>1874</v>
      </c>
      <c r="AA26" s="3" t="s">
        <v>971</v>
      </c>
      <c r="AB26" s="4"/>
      <c r="AC26" s="3" t="s">
        <v>969</v>
      </c>
      <c r="AD26" s="3" t="s">
        <v>1875</v>
      </c>
      <c r="AE26" s="3" t="s">
        <v>1876</v>
      </c>
      <c r="AF26" s="3" t="s">
        <v>1877</v>
      </c>
      <c r="AG26" s="3" t="s">
        <v>1878</v>
      </c>
      <c r="AH26" s="3" t="s">
        <v>969</v>
      </c>
      <c r="AI26" s="3" t="s">
        <v>1879</v>
      </c>
      <c r="AJ26" s="3" t="s">
        <v>969</v>
      </c>
      <c r="AK26" s="3" t="s">
        <v>1880</v>
      </c>
      <c r="AL26" s="3" t="s">
        <v>1881</v>
      </c>
      <c r="AM26" s="3" t="s">
        <v>1882</v>
      </c>
      <c r="AN26" s="3" t="s">
        <v>1883</v>
      </c>
      <c r="AO26" s="3" t="s">
        <v>1884</v>
      </c>
      <c r="AP26" s="3" t="s">
        <v>1885</v>
      </c>
      <c r="AQ26" s="3" t="s">
        <v>1886</v>
      </c>
      <c r="AR26" s="3" t="s">
        <v>1887</v>
      </c>
      <c r="AS26" s="3" t="s">
        <v>969</v>
      </c>
      <c r="AT26" s="3" t="s">
        <v>969</v>
      </c>
      <c r="AU26" s="3" t="s">
        <v>1039</v>
      </c>
      <c r="AV26" s="3" t="s">
        <v>1261</v>
      </c>
      <c r="AW26" s="3" t="s">
        <v>1596</v>
      </c>
      <c r="AX26" s="3" t="s">
        <v>969</v>
      </c>
      <c r="AY26" s="27">
        <v>15.99</v>
      </c>
      <c r="AZ26" s="5" t="s">
        <v>24</v>
      </c>
      <c r="BA26" s="5" t="s">
        <v>22</v>
      </c>
    </row>
    <row r="27" ht="15.75" customHeight="1">
      <c r="A27" s="45">
        <v>26.0</v>
      </c>
      <c r="B27" s="46">
        <v>163.0</v>
      </c>
      <c r="C27" s="5" t="s">
        <v>24</v>
      </c>
      <c r="D27" s="3" t="s">
        <v>953</v>
      </c>
      <c r="E27" s="25">
        <v>46209.07083333333</v>
      </c>
      <c r="F27" s="3" t="s">
        <v>1888</v>
      </c>
      <c r="G27" s="3" t="s">
        <v>1889</v>
      </c>
      <c r="H27" s="3" t="s">
        <v>753</v>
      </c>
      <c r="I27" s="3" t="s">
        <v>1890</v>
      </c>
      <c r="J27" s="3" t="s">
        <v>1891</v>
      </c>
      <c r="K27" s="3" t="s">
        <v>1653</v>
      </c>
      <c r="L27" s="3" t="s">
        <v>1892</v>
      </c>
      <c r="M27" s="26">
        <v>34087.0</v>
      </c>
      <c r="N27" s="3" t="s">
        <v>1893</v>
      </c>
      <c r="O27" s="3" t="s">
        <v>1892</v>
      </c>
      <c r="P27" s="4"/>
      <c r="Q27" s="4"/>
      <c r="R27" s="4"/>
      <c r="S27" s="3" t="s">
        <v>1894</v>
      </c>
      <c r="T27" s="3" t="s">
        <v>1895</v>
      </c>
      <c r="U27" s="3" t="s">
        <v>1896</v>
      </c>
      <c r="V27" s="3" t="s">
        <v>1897</v>
      </c>
      <c r="W27" s="3" t="s">
        <v>1898</v>
      </c>
      <c r="X27" s="3" t="s">
        <v>1899</v>
      </c>
      <c r="Y27" s="3" t="s">
        <v>971</v>
      </c>
      <c r="Z27" s="3" t="s">
        <v>1900</v>
      </c>
      <c r="AA27" s="3" t="s">
        <v>971</v>
      </c>
      <c r="AB27" s="4"/>
      <c r="AC27" s="4"/>
      <c r="AD27" s="3" t="s">
        <v>1901</v>
      </c>
      <c r="AE27" s="3" t="s">
        <v>1902</v>
      </c>
      <c r="AF27" s="3" t="s">
        <v>1903</v>
      </c>
      <c r="AG27" s="3" t="s">
        <v>1904</v>
      </c>
      <c r="AH27" s="3" t="s">
        <v>969</v>
      </c>
      <c r="AI27" s="3" t="s">
        <v>1905</v>
      </c>
      <c r="AJ27" s="3" t="s">
        <v>966</v>
      </c>
      <c r="AK27" s="4"/>
      <c r="AL27" s="4"/>
      <c r="AM27" s="3" t="s">
        <v>1906</v>
      </c>
      <c r="AN27" s="3" t="s">
        <v>1907</v>
      </c>
      <c r="AO27" s="3" t="s">
        <v>1908</v>
      </c>
      <c r="AP27" s="3" t="s">
        <v>1909</v>
      </c>
      <c r="AQ27" s="3" t="s">
        <v>1910</v>
      </c>
      <c r="AR27" s="3" t="s">
        <v>1911</v>
      </c>
      <c r="AS27" s="3" t="s">
        <v>969</v>
      </c>
      <c r="AT27" s="3" t="s">
        <v>969</v>
      </c>
      <c r="AU27" s="3" t="s">
        <v>1409</v>
      </c>
      <c r="AV27" s="3" t="s">
        <v>1912</v>
      </c>
      <c r="AW27" s="4"/>
      <c r="AX27" s="3" t="s">
        <v>969</v>
      </c>
      <c r="AY27" s="27">
        <v>15.99</v>
      </c>
      <c r="AZ27" s="5" t="s">
        <v>24</v>
      </c>
      <c r="BA27" s="5" t="s">
        <v>94</v>
      </c>
    </row>
    <row r="28" ht="15.75" customHeight="1">
      <c r="A28" s="47">
        <v>27.0</v>
      </c>
      <c r="B28" s="46">
        <v>161.0</v>
      </c>
      <c r="C28" s="5" t="s">
        <v>24</v>
      </c>
      <c r="D28" s="3" t="s">
        <v>953</v>
      </c>
      <c r="E28" s="25">
        <v>46209.05972222222</v>
      </c>
      <c r="F28" s="3" t="s">
        <v>1913</v>
      </c>
      <c r="G28" s="3" t="s">
        <v>1913</v>
      </c>
      <c r="H28" s="3" t="s">
        <v>448</v>
      </c>
      <c r="I28" s="3" t="s">
        <v>1914</v>
      </c>
      <c r="J28" s="3" t="s">
        <v>1915</v>
      </c>
      <c r="K28" s="3" t="s">
        <v>1916</v>
      </c>
      <c r="L28" s="3" t="s">
        <v>1917</v>
      </c>
      <c r="M28" s="26">
        <v>37149.0</v>
      </c>
      <c r="N28" s="3" t="s">
        <v>1918</v>
      </c>
      <c r="O28" s="3" t="s">
        <v>1919</v>
      </c>
      <c r="P28" s="3" t="s">
        <v>1920</v>
      </c>
      <c r="Q28" s="3" t="s">
        <v>1921</v>
      </c>
      <c r="R28" s="3" t="s">
        <v>1922</v>
      </c>
      <c r="S28" s="42" t="s">
        <v>1923</v>
      </c>
      <c r="T28" s="3" t="s">
        <v>1924</v>
      </c>
      <c r="U28" s="3" t="s">
        <v>1925</v>
      </c>
      <c r="V28" s="3" t="s">
        <v>1370</v>
      </c>
      <c r="W28" s="3" t="s">
        <v>1926</v>
      </c>
      <c r="X28" s="3" t="s">
        <v>1927</v>
      </c>
      <c r="Y28" s="3" t="s">
        <v>969</v>
      </c>
      <c r="Z28" s="3" t="s">
        <v>1928</v>
      </c>
      <c r="AA28" s="3" t="s">
        <v>971</v>
      </c>
      <c r="AB28" s="4"/>
      <c r="AC28" s="4"/>
      <c r="AD28" s="3" t="s">
        <v>1929</v>
      </c>
      <c r="AE28" s="3" t="s">
        <v>1930</v>
      </c>
      <c r="AF28" s="3" t="s">
        <v>1931</v>
      </c>
      <c r="AG28" s="3" t="s">
        <v>1002</v>
      </c>
      <c r="AH28" s="3" t="s">
        <v>971</v>
      </c>
      <c r="AI28" s="4"/>
      <c r="AJ28" s="4"/>
      <c r="AK28" s="4"/>
      <c r="AL28" s="4"/>
      <c r="AM28" s="3" t="s">
        <v>1932</v>
      </c>
      <c r="AN28" s="3" t="s">
        <v>1933</v>
      </c>
      <c r="AO28" s="3" t="s">
        <v>1934</v>
      </c>
      <c r="AP28" s="3" t="s">
        <v>1935</v>
      </c>
      <c r="AQ28" s="3" t="s">
        <v>1936</v>
      </c>
      <c r="AR28" s="3" t="s">
        <v>1937</v>
      </c>
      <c r="AS28" s="3" t="s">
        <v>969</v>
      </c>
      <c r="AT28" s="3" t="s">
        <v>969</v>
      </c>
      <c r="AU28" s="3" t="s">
        <v>1039</v>
      </c>
      <c r="AV28" s="3" t="s">
        <v>1938</v>
      </c>
      <c r="AW28" s="3" t="s">
        <v>1288</v>
      </c>
      <c r="AX28" s="3" t="s">
        <v>969</v>
      </c>
      <c r="AY28" s="27">
        <v>15.99</v>
      </c>
      <c r="AZ28" s="5" t="s">
        <v>24</v>
      </c>
      <c r="BA28" s="5" t="s">
        <v>162</v>
      </c>
    </row>
    <row r="29" ht="15.75" customHeight="1">
      <c r="A29" s="45">
        <v>28.0</v>
      </c>
      <c r="B29" s="46">
        <v>160.0</v>
      </c>
      <c r="C29" s="5" t="s">
        <v>24</v>
      </c>
      <c r="D29" s="3" t="s">
        <v>953</v>
      </c>
      <c r="E29" s="25">
        <v>46209.03611111111</v>
      </c>
      <c r="F29" s="3" t="s">
        <v>1939</v>
      </c>
      <c r="G29" s="3" t="s">
        <v>1940</v>
      </c>
      <c r="H29" s="3" t="s">
        <v>300</v>
      </c>
      <c r="I29" s="3" t="s">
        <v>1941</v>
      </c>
      <c r="J29" s="3" t="s">
        <v>1942</v>
      </c>
      <c r="K29" s="3" t="s">
        <v>1943</v>
      </c>
      <c r="L29" s="3" t="s">
        <v>1944</v>
      </c>
      <c r="M29" s="26">
        <v>35161.0</v>
      </c>
      <c r="N29" s="3" t="s">
        <v>1945</v>
      </c>
      <c r="O29" s="3" t="s">
        <v>1944</v>
      </c>
      <c r="P29" s="4"/>
      <c r="Q29" s="4"/>
      <c r="R29" s="3" t="s">
        <v>1946</v>
      </c>
      <c r="S29" s="3" t="s">
        <v>1947</v>
      </c>
      <c r="T29" s="3" t="s">
        <v>1948</v>
      </c>
      <c r="U29" s="3" t="s">
        <v>1949</v>
      </c>
      <c r="V29" s="3" t="s">
        <v>1125</v>
      </c>
      <c r="W29" s="3" t="s">
        <v>1950</v>
      </c>
      <c r="X29" s="3" t="s">
        <v>1951</v>
      </c>
      <c r="Y29" s="3" t="s">
        <v>969</v>
      </c>
      <c r="Z29" s="3" t="s">
        <v>1952</v>
      </c>
      <c r="AA29" s="3" t="s">
        <v>969</v>
      </c>
      <c r="AB29" s="3" t="s">
        <v>1953</v>
      </c>
      <c r="AC29" s="3" t="s">
        <v>969</v>
      </c>
      <c r="AD29" s="3" t="s">
        <v>969</v>
      </c>
      <c r="AE29" s="3" t="s">
        <v>1954</v>
      </c>
      <c r="AF29" s="3" t="s">
        <v>1955</v>
      </c>
      <c r="AG29" s="3" t="s">
        <v>1956</v>
      </c>
      <c r="AH29" s="3" t="s">
        <v>971</v>
      </c>
      <c r="AI29" s="4"/>
      <c r="AJ29" s="3" t="s">
        <v>969</v>
      </c>
      <c r="AK29" s="3" t="s">
        <v>1957</v>
      </c>
      <c r="AL29" s="3" t="s">
        <v>1958</v>
      </c>
      <c r="AM29" s="3" t="s">
        <v>1959</v>
      </c>
      <c r="AN29" s="3" t="s">
        <v>1960</v>
      </c>
      <c r="AO29" s="3" t="s">
        <v>1961</v>
      </c>
      <c r="AP29" s="3" t="s">
        <v>1962</v>
      </c>
      <c r="AQ29" s="3" t="s">
        <v>1963</v>
      </c>
      <c r="AR29" s="3" t="s">
        <v>1964</v>
      </c>
      <c r="AS29" s="3" t="s">
        <v>969</v>
      </c>
      <c r="AT29" s="3" t="s">
        <v>969</v>
      </c>
      <c r="AU29" s="3" t="s">
        <v>1039</v>
      </c>
      <c r="AV29" s="3" t="s">
        <v>1261</v>
      </c>
      <c r="AW29" s="3" t="s">
        <v>1965</v>
      </c>
      <c r="AX29" s="3" t="s">
        <v>969</v>
      </c>
      <c r="AY29" s="27">
        <v>15.99</v>
      </c>
      <c r="AZ29" s="5" t="s">
        <v>24</v>
      </c>
      <c r="BA29" s="5" t="s">
        <v>7</v>
      </c>
    </row>
    <row r="30" ht="15.75" customHeight="1">
      <c r="A30" s="45">
        <v>29.0</v>
      </c>
      <c r="B30" s="46">
        <v>159.0</v>
      </c>
      <c r="C30" s="5" t="s">
        <v>24</v>
      </c>
      <c r="D30" s="3" t="s">
        <v>953</v>
      </c>
      <c r="E30" s="25">
        <v>46209.03472222222</v>
      </c>
      <c r="F30" s="3" t="s">
        <v>1966</v>
      </c>
      <c r="G30" s="3" t="s">
        <v>1967</v>
      </c>
      <c r="H30" s="3" t="s">
        <v>291</v>
      </c>
      <c r="I30" s="3" t="s">
        <v>1968</v>
      </c>
      <c r="J30" s="3" t="s">
        <v>1969</v>
      </c>
      <c r="K30" s="3" t="s">
        <v>1653</v>
      </c>
      <c r="L30" s="3" t="s">
        <v>1970</v>
      </c>
      <c r="M30" s="26">
        <v>33756.0</v>
      </c>
      <c r="N30" s="3" t="s">
        <v>1971</v>
      </c>
      <c r="O30" s="3" t="s">
        <v>1972</v>
      </c>
      <c r="P30" s="3" t="s">
        <v>1973</v>
      </c>
      <c r="Q30" s="4"/>
      <c r="R30" s="3" t="s">
        <v>1974</v>
      </c>
      <c r="S30" s="3" t="s">
        <v>1975</v>
      </c>
      <c r="T30" s="3" t="s">
        <v>1976</v>
      </c>
      <c r="U30" s="3" t="s">
        <v>1396</v>
      </c>
      <c r="V30" s="3" t="s">
        <v>1977</v>
      </c>
      <c r="W30" s="3" t="s">
        <v>1215</v>
      </c>
      <c r="X30" s="3" t="s">
        <v>1978</v>
      </c>
      <c r="Y30" s="3" t="s">
        <v>969</v>
      </c>
      <c r="Z30" s="3" t="s">
        <v>1979</v>
      </c>
      <c r="AA30" s="3" t="s">
        <v>969</v>
      </c>
      <c r="AB30" s="3" t="s">
        <v>1980</v>
      </c>
      <c r="AC30" s="4"/>
      <c r="AD30" s="3" t="s">
        <v>1981</v>
      </c>
      <c r="AE30" s="3" t="s">
        <v>1982</v>
      </c>
      <c r="AF30" s="3" t="s">
        <v>1983</v>
      </c>
      <c r="AG30" s="3" t="s">
        <v>1984</v>
      </c>
      <c r="AH30" s="3" t="s">
        <v>969</v>
      </c>
      <c r="AI30" s="3" t="s">
        <v>1985</v>
      </c>
      <c r="AJ30" s="3" t="s">
        <v>1986</v>
      </c>
      <c r="AK30" s="3" t="s">
        <v>1987</v>
      </c>
      <c r="AL30" s="3" t="s">
        <v>1988</v>
      </c>
      <c r="AM30" s="3" t="s">
        <v>1989</v>
      </c>
      <c r="AN30" s="3" t="s">
        <v>1990</v>
      </c>
      <c r="AO30" s="3" t="s">
        <v>1991</v>
      </c>
      <c r="AP30" s="3" t="s">
        <v>1992</v>
      </c>
      <c r="AQ30" s="3" t="s">
        <v>1993</v>
      </c>
      <c r="AR30" s="3" t="s">
        <v>1994</v>
      </c>
      <c r="AS30" s="3" t="s">
        <v>969</v>
      </c>
      <c r="AT30" s="3" t="s">
        <v>969</v>
      </c>
      <c r="AU30" s="3" t="s">
        <v>1260</v>
      </c>
      <c r="AV30" s="3" t="s">
        <v>1995</v>
      </c>
      <c r="AW30" s="3" t="s">
        <v>1996</v>
      </c>
      <c r="AX30" s="3" t="s">
        <v>969</v>
      </c>
      <c r="AY30" s="27">
        <v>15.99</v>
      </c>
      <c r="AZ30" s="5" t="s">
        <v>24</v>
      </c>
      <c r="BA30" s="5" t="s">
        <v>294</v>
      </c>
    </row>
    <row r="31" ht="15.75" customHeight="1">
      <c r="A31" s="47">
        <v>30.0</v>
      </c>
      <c r="B31" s="46">
        <v>157.0</v>
      </c>
      <c r="C31" s="5" t="s">
        <v>24</v>
      </c>
      <c r="D31" s="3" t="s">
        <v>953</v>
      </c>
      <c r="E31" s="25">
        <v>46208.97361111111</v>
      </c>
      <c r="F31" s="3" t="s">
        <v>285</v>
      </c>
      <c r="G31" s="3" t="s">
        <v>1997</v>
      </c>
      <c r="H31" s="3" t="s">
        <v>506</v>
      </c>
      <c r="I31" s="3" t="s">
        <v>1998</v>
      </c>
      <c r="J31" s="3" t="s">
        <v>1999</v>
      </c>
      <c r="K31" s="3" t="s">
        <v>1916</v>
      </c>
      <c r="L31" s="3" t="s">
        <v>2000</v>
      </c>
      <c r="M31" s="26">
        <v>36851.0</v>
      </c>
      <c r="N31" s="3" t="s">
        <v>2001</v>
      </c>
      <c r="O31" s="3" t="s">
        <v>2002</v>
      </c>
      <c r="P31" s="3" t="s">
        <v>2003</v>
      </c>
      <c r="Q31" s="3" t="s">
        <v>2004</v>
      </c>
      <c r="R31" s="3" t="s">
        <v>2005</v>
      </c>
      <c r="S31" s="3" t="s">
        <v>2006</v>
      </c>
      <c r="T31" s="3" t="s">
        <v>2007</v>
      </c>
      <c r="U31" s="3" t="s">
        <v>1050</v>
      </c>
      <c r="V31" s="3" t="s">
        <v>1101</v>
      </c>
      <c r="W31" s="3" t="s">
        <v>2008</v>
      </c>
      <c r="X31" s="3" t="s">
        <v>2009</v>
      </c>
      <c r="Y31" s="3" t="s">
        <v>971</v>
      </c>
      <c r="Z31" s="3" t="s">
        <v>1900</v>
      </c>
      <c r="AA31" s="3" t="s">
        <v>969</v>
      </c>
      <c r="AB31" s="3" t="s">
        <v>2010</v>
      </c>
      <c r="AC31" s="3" t="s">
        <v>2011</v>
      </c>
      <c r="AD31" s="3" t="s">
        <v>2012</v>
      </c>
      <c r="AE31" s="3" t="s">
        <v>2013</v>
      </c>
      <c r="AF31" s="3" t="s">
        <v>2014</v>
      </c>
      <c r="AG31" s="3" t="s">
        <v>2015</v>
      </c>
      <c r="AH31" s="3" t="s">
        <v>969</v>
      </c>
      <c r="AI31" s="3" t="s">
        <v>2016</v>
      </c>
      <c r="AJ31" s="3" t="s">
        <v>971</v>
      </c>
      <c r="AK31" s="4"/>
      <c r="AL31" s="3" t="s">
        <v>2017</v>
      </c>
      <c r="AM31" s="3" t="s">
        <v>2018</v>
      </c>
      <c r="AN31" s="3" t="s">
        <v>2019</v>
      </c>
      <c r="AO31" s="3" t="s">
        <v>2020</v>
      </c>
      <c r="AP31" s="3" t="s">
        <v>2021</v>
      </c>
      <c r="AQ31" s="3" t="s">
        <v>2022</v>
      </c>
      <c r="AR31" s="3" t="s">
        <v>2023</v>
      </c>
      <c r="AS31" s="3" t="s">
        <v>969</v>
      </c>
      <c r="AT31" s="3" t="s">
        <v>969</v>
      </c>
      <c r="AU31" s="3" t="s">
        <v>1260</v>
      </c>
      <c r="AV31" s="3" t="s">
        <v>2024</v>
      </c>
      <c r="AW31" s="3" t="s">
        <v>2025</v>
      </c>
      <c r="AX31" s="3" t="s">
        <v>969</v>
      </c>
      <c r="AY31" s="27">
        <v>15.99</v>
      </c>
      <c r="AZ31" s="5" t="s">
        <v>24</v>
      </c>
      <c r="BA31" s="5" t="s">
        <v>22</v>
      </c>
    </row>
    <row r="32" ht="15.75" customHeight="1">
      <c r="A32" s="45">
        <v>31.0</v>
      </c>
      <c r="B32" s="46">
        <v>155.0</v>
      </c>
      <c r="C32" s="5" t="s">
        <v>24</v>
      </c>
      <c r="D32" s="3" t="s">
        <v>953</v>
      </c>
      <c r="E32" s="25">
        <v>46208.96527777778</v>
      </c>
      <c r="F32" s="3" t="s">
        <v>279</v>
      </c>
      <c r="G32" s="3" t="s">
        <v>2026</v>
      </c>
      <c r="H32" s="3" t="s">
        <v>560</v>
      </c>
      <c r="I32" s="3" t="s">
        <v>2027</v>
      </c>
      <c r="J32" s="3" t="s">
        <v>2028</v>
      </c>
      <c r="K32" s="3" t="s">
        <v>1653</v>
      </c>
      <c r="L32" s="3" t="s">
        <v>2029</v>
      </c>
      <c r="M32" s="26">
        <v>34528.0</v>
      </c>
      <c r="N32" s="3" t="s">
        <v>2030</v>
      </c>
      <c r="O32" s="3" t="s">
        <v>2031</v>
      </c>
      <c r="P32" s="3" t="s">
        <v>2032</v>
      </c>
      <c r="Q32" s="3" t="s">
        <v>1684</v>
      </c>
      <c r="R32" s="3" t="s">
        <v>1684</v>
      </c>
      <c r="S32" s="3" t="s">
        <v>2033</v>
      </c>
      <c r="T32" s="3" t="s">
        <v>2034</v>
      </c>
      <c r="U32" s="3" t="s">
        <v>1050</v>
      </c>
      <c r="V32" s="3" t="s">
        <v>1125</v>
      </c>
      <c r="W32" s="3" t="s">
        <v>2035</v>
      </c>
      <c r="X32" s="3" t="s">
        <v>2036</v>
      </c>
      <c r="Y32" s="3" t="s">
        <v>971</v>
      </c>
      <c r="Z32" s="3" t="s">
        <v>1979</v>
      </c>
      <c r="AA32" s="3" t="s">
        <v>971</v>
      </c>
      <c r="AB32" s="4"/>
      <c r="AC32" s="4"/>
      <c r="AD32" s="3" t="s">
        <v>2037</v>
      </c>
      <c r="AE32" s="3" t="s">
        <v>2038</v>
      </c>
      <c r="AF32" s="3" t="s">
        <v>2039</v>
      </c>
      <c r="AG32" s="3" t="s">
        <v>2040</v>
      </c>
      <c r="AH32" s="3" t="s">
        <v>969</v>
      </c>
      <c r="AI32" s="3" t="s">
        <v>2041</v>
      </c>
      <c r="AJ32" s="3" t="s">
        <v>971</v>
      </c>
      <c r="AK32" s="4"/>
      <c r="AL32" s="3" t="s">
        <v>2042</v>
      </c>
      <c r="AM32" s="3" t="s">
        <v>2043</v>
      </c>
      <c r="AN32" s="3" t="s">
        <v>2044</v>
      </c>
      <c r="AO32" s="3" t="s">
        <v>2045</v>
      </c>
      <c r="AP32" s="3" t="s">
        <v>2046</v>
      </c>
      <c r="AQ32" s="3" t="s">
        <v>2047</v>
      </c>
      <c r="AR32" s="3" t="s">
        <v>2048</v>
      </c>
      <c r="AS32" s="3" t="s">
        <v>969</v>
      </c>
      <c r="AT32" s="3" t="s">
        <v>969</v>
      </c>
      <c r="AU32" s="3" t="s">
        <v>1039</v>
      </c>
      <c r="AV32" s="3" t="s">
        <v>2049</v>
      </c>
      <c r="AW32" s="3" t="s">
        <v>1288</v>
      </c>
      <c r="AX32" s="3" t="s">
        <v>969</v>
      </c>
      <c r="AY32" s="27">
        <v>15.99</v>
      </c>
      <c r="AZ32" s="5" t="s">
        <v>24</v>
      </c>
      <c r="BA32" s="5" t="s">
        <v>22</v>
      </c>
    </row>
    <row r="33" ht="15.75" customHeight="1">
      <c r="A33" s="45">
        <v>32.0</v>
      </c>
      <c r="B33" s="46">
        <v>142.0</v>
      </c>
      <c r="C33" s="5" t="s">
        <v>69</v>
      </c>
      <c r="D33" s="3" t="s">
        <v>953</v>
      </c>
      <c r="E33" s="25">
        <v>46208.86736111111</v>
      </c>
      <c r="F33" s="3" t="s">
        <v>251</v>
      </c>
      <c r="G33" s="3" t="s">
        <v>2050</v>
      </c>
      <c r="H33" s="3" t="s">
        <v>252</v>
      </c>
      <c r="I33" s="3" t="s">
        <v>2051</v>
      </c>
      <c r="J33" s="3" t="s">
        <v>2052</v>
      </c>
      <c r="K33" s="3" t="s">
        <v>2053</v>
      </c>
      <c r="L33" s="3" t="s">
        <v>2054</v>
      </c>
      <c r="M33" s="26">
        <v>33895.0</v>
      </c>
      <c r="N33" s="3" t="s">
        <v>2055</v>
      </c>
      <c r="O33" s="3" t="s">
        <v>2056</v>
      </c>
      <c r="P33" s="3" t="s">
        <v>2057</v>
      </c>
      <c r="Q33" s="4"/>
      <c r="R33" s="4"/>
      <c r="S33" s="3" t="s">
        <v>2058</v>
      </c>
      <c r="T33" s="3" t="s">
        <v>2059</v>
      </c>
      <c r="U33" s="3" t="s">
        <v>1050</v>
      </c>
      <c r="V33" s="3" t="s">
        <v>2060</v>
      </c>
      <c r="W33" s="3" t="s">
        <v>2061</v>
      </c>
      <c r="X33" s="3" t="s">
        <v>2062</v>
      </c>
      <c r="Y33" s="3" t="s">
        <v>971</v>
      </c>
      <c r="Z33" s="3" t="s">
        <v>1825</v>
      </c>
      <c r="AA33" s="3" t="s">
        <v>971</v>
      </c>
      <c r="AB33" s="4"/>
      <c r="AC33" s="3" t="s">
        <v>969</v>
      </c>
      <c r="AD33" s="3" t="s">
        <v>2063</v>
      </c>
      <c r="AE33" s="3" t="s">
        <v>2064</v>
      </c>
      <c r="AF33" s="3" t="s">
        <v>1250</v>
      </c>
      <c r="AG33" s="3" t="s">
        <v>1030</v>
      </c>
      <c r="AH33" s="3" t="s">
        <v>969</v>
      </c>
      <c r="AI33" s="3" t="s">
        <v>2065</v>
      </c>
      <c r="AJ33" s="3" t="s">
        <v>1684</v>
      </c>
      <c r="AK33" s="3" t="s">
        <v>1684</v>
      </c>
      <c r="AL33" s="3" t="s">
        <v>2066</v>
      </c>
      <c r="AM33" s="3" t="s">
        <v>2067</v>
      </c>
      <c r="AN33" s="3" t="s">
        <v>2068</v>
      </c>
      <c r="AO33" s="3" t="s">
        <v>2069</v>
      </c>
      <c r="AP33" s="3" t="s">
        <v>2070</v>
      </c>
      <c r="AQ33" s="3" t="s">
        <v>2071</v>
      </c>
      <c r="AR33" s="3" t="s">
        <v>2072</v>
      </c>
      <c r="AS33" s="3" t="s">
        <v>969</v>
      </c>
      <c r="AT33" s="3" t="s">
        <v>969</v>
      </c>
      <c r="AU33" s="3" t="s">
        <v>1260</v>
      </c>
      <c r="AV33" s="3" t="s">
        <v>917</v>
      </c>
      <c r="AW33" s="3" t="s">
        <v>1596</v>
      </c>
      <c r="AX33" s="3" t="s">
        <v>969</v>
      </c>
      <c r="AY33" s="27">
        <v>15.99</v>
      </c>
      <c r="AZ33" s="5" t="s">
        <v>69</v>
      </c>
      <c r="BA33" s="5" t="s">
        <v>7</v>
      </c>
    </row>
    <row r="34" ht="15.75" customHeight="1">
      <c r="A34" s="47">
        <v>33.0</v>
      </c>
      <c r="B34" s="46">
        <v>139.0</v>
      </c>
      <c r="C34" s="5" t="s">
        <v>24</v>
      </c>
      <c r="D34" s="3" t="s">
        <v>953</v>
      </c>
      <c r="E34" s="25">
        <v>46208.83958333333</v>
      </c>
      <c r="F34" s="3" t="s">
        <v>247</v>
      </c>
      <c r="G34" s="3" t="s">
        <v>247</v>
      </c>
      <c r="H34" s="3" t="s">
        <v>618</v>
      </c>
      <c r="I34" s="3" t="s">
        <v>2073</v>
      </c>
      <c r="J34" s="3" t="s">
        <v>2074</v>
      </c>
      <c r="K34" s="3" t="s">
        <v>2075</v>
      </c>
      <c r="L34" s="3" t="s">
        <v>2076</v>
      </c>
      <c r="M34" s="26">
        <v>33256.0</v>
      </c>
      <c r="N34" s="3" t="s">
        <v>2077</v>
      </c>
      <c r="O34" s="3" t="s">
        <v>2076</v>
      </c>
      <c r="P34" s="3" t="s">
        <v>247</v>
      </c>
      <c r="Q34" s="3" t="s">
        <v>2078</v>
      </c>
      <c r="R34" s="3" t="s">
        <v>247</v>
      </c>
      <c r="S34" s="3" t="s">
        <v>2079</v>
      </c>
      <c r="T34" s="3" t="s">
        <v>2080</v>
      </c>
      <c r="U34" s="3" t="s">
        <v>1245</v>
      </c>
      <c r="V34" s="3" t="s">
        <v>2081</v>
      </c>
      <c r="W34" s="3" t="s">
        <v>2082</v>
      </c>
      <c r="X34" s="3" t="s">
        <v>2083</v>
      </c>
      <c r="Y34" s="3" t="s">
        <v>971</v>
      </c>
      <c r="Z34" s="3" t="s">
        <v>2084</v>
      </c>
      <c r="AA34" s="3" t="s">
        <v>969</v>
      </c>
      <c r="AB34" s="3" t="s">
        <v>2085</v>
      </c>
      <c r="AC34" s="3" t="s">
        <v>969</v>
      </c>
      <c r="AD34" s="3" t="s">
        <v>2086</v>
      </c>
      <c r="AE34" s="3" t="s">
        <v>2087</v>
      </c>
      <c r="AF34" s="3" t="s">
        <v>1250</v>
      </c>
      <c r="AG34" s="3" t="s">
        <v>2088</v>
      </c>
      <c r="AH34" s="3" t="s">
        <v>969</v>
      </c>
      <c r="AI34" s="3" t="s">
        <v>2089</v>
      </c>
      <c r="AJ34" s="3" t="s">
        <v>971</v>
      </c>
      <c r="AK34" s="4"/>
      <c r="AL34" s="3" t="s">
        <v>2090</v>
      </c>
      <c r="AM34" s="3" t="s">
        <v>2091</v>
      </c>
      <c r="AN34" s="3" t="s">
        <v>2092</v>
      </c>
      <c r="AO34" s="3" t="s">
        <v>2093</v>
      </c>
      <c r="AP34" s="3" t="s">
        <v>2094</v>
      </c>
      <c r="AQ34" s="3" t="s">
        <v>2095</v>
      </c>
      <c r="AR34" s="3" t="s">
        <v>2096</v>
      </c>
      <c r="AS34" s="3" t="s">
        <v>969</v>
      </c>
      <c r="AT34" s="3" t="s">
        <v>969</v>
      </c>
      <c r="AU34" s="3" t="s">
        <v>1233</v>
      </c>
      <c r="AV34" s="3" t="s">
        <v>1470</v>
      </c>
      <c r="AW34" s="3" t="s">
        <v>1596</v>
      </c>
      <c r="AX34" s="3" t="s">
        <v>969</v>
      </c>
      <c r="AY34" s="27">
        <v>15.99</v>
      </c>
      <c r="AZ34" s="5" t="s">
        <v>24</v>
      </c>
      <c r="BA34" s="5" t="s">
        <v>22</v>
      </c>
    </row>
    <row r="35" ht="15.75" customHeight="1">
      <c r="A35" s="45">
        <v>34.0</v>
      </c>
      <c r="B35" s="46">
        <v>134.0</v>
      </c>
      <c r="C35" s="5" t="s">
        <v>24</v>
      </c>
      <c r="D35" s="3" t="s">
        <v>953</v>
      </c>
      <c r="E35" s="25">
        <v>46208.80208333334</v>
      </c>
      <c r="F35" s="3" t="s">
        <v>2097</v>
      </c>
      <c r="G35" s="3" t="s">
        <v>2098</v>
      </c>
      <c r="H35" s="3" t="s">
        <v>227</v>
      </c>
      <c r="I35" s="3" t="s">
        <v>2099</v>
      </c>
      <c r="J35" s="3" t="s">
        <v>2100</v>
      </c>
      <c r="K35" s="3" t="s">
        <v>1042</v>
      </c>
      <c r="L35" s="3" t="s">
        <v>2101</v>
      </c>
      <c r="M35" s="26">
        <v>37851.0</v>
      </c>
      <c r="N35" s="3" t="s">
        <v>2102</v>
      </c>
      <c r="O35" s="3" t="s">
        <v>2103</v>
      </c>
      <c r="P35" s="4"/>
      <c r="Q35" s="4"/>
      <c r="R35" s="4"/>
      <c r="S35" s="3" t="s">
        <v>2104</v>
      </c>
      <c r="T35" s="3" t="s">
        <v>2105</v>
      </c>
      <c r="U35" s="3" t="s">
        <v>1050</v>
      </c>
      <c r="V35" s="3" t="s">
        <v>2106</v>
      </c>
      <c r="W35" s="3" t="s">
        <v>2107</v>
      </c>
      <c r="X35" s="3" t="s">
        <v>2108</v>
      </c>
      <c r="Y35" s="3" t="s">
        <v>969</v>
      </c>
      <c r="Z35" s="3" t="s">
        <v>1054</v>
      </c>
      <c r="AA35" s="3" t="s">
        <v>969</v>
      </c>
      <c r="AB35" s="3" t="s">
        <v>2109</v>
      </c>
      <c r="AC35" s="4"/>
      <c r="AD35" s="3" t="s">
        <v>2110</v>
      </c>
      <c r="AE35" s="4"/>
      <c r="AF35" s="3" t="s">
        <v>2111</v>
      </c>
      <c r="AG35" s="4"/>
      <c r="AH35" s="3" t="s">
        <v>969</v>
      </c>
      <c r="AI35" s="3" t="s">
        <v>2112</v>
      </c>
      <c r="AJ35" s="3" t="s">
        <v>2113</v>
      </c>
      <c r="AK35" s="3" t="s">
        <v>2114</v>
      </c>
      <c r="AL35" s="3" t="s">
        <v>2115</v>
      </c>
      <c r="AM35" s="3" t="s">
        <v>2116</v>
      </c>
      <c r="AN35" s="3" t="s">
        <v>2117</v>
      </c>
      <c r="AO35" s="3" t="s">
        <v>2118</v>
      </c>
      <c r="AP35" s="3" t="s">
        <v>2119</v>
      </c>
      <c r="AQ35" s="3" t="s">
        <v>2120</v>
      </c>
      <c r="AR35" s="3" t="s">
        <v>2121</v>
      </c>
      <c r="AS35" s="3" t="s">
        <v>969</v>
      </c>
      <c r="AT35" s="3" t="s">
        <v>969</v>
      </c>
      <c r="AU35" s="3" t="s">
        <v>1039</v>
      </c>
      <c r="AV35" s="3" t="s">
        <v>1261</v>
      </c>
      <c r="AW35" s="3" t="s">
        <v>2122</v>
      </c>
      <c r="AX35" s="3" t="s">
        <v>969</v>
      </c>
      <c r="AY35" s="27">
        <v>15.99</v>
      </c>
      <c r="AZ35" s="5" t="s">
        <v>24</v>
      </c>
      <c r="BA35" s="5" t="s">
        <v>230</v>
      </c>
    </row>
    <row r="36" ht="15.75" customHeight="1">
      <c r="A36" s="45">
        <v>35.0</v>
      </c>
      <c r="B36" s="46">
        <v>133.0</v>
      </c>
      <c r="C36" s="5" t="s">
        <v>24</v>
      </c>
      <c r="D36" s="3" t="s">
        <v>953</v>
      </c>
      <c r="E36" s="25">
        <v>46208.78125</v>
      </c>
      <c r="F36" s="3" t="s">
        <v>2123</v>
      </c>
      <c r="G36" s="3" t="s">
        <v>2123</v>
      </c>
      <c r="H36" s="3" t="s">
        <v>476</v>
      </c>
      <c r="I36" s="3" t="s">
        <v>2124</v>
      </c>
      <c r="J36" s="3" t="s">
        <v>2125</v>
      </c>
      <c r="K36" s="3" t="s">
        <v>1916</v>
      </c>
      <c r="L36" s="3" t="s">
        <v>2126</v>
      </c>
      <c r="M36" s="26">
        <v>39010.0</v>
      </c>
      <c r="N36" s="3" t="s">
        <v>2127</v>
      </c>
      <c r="O36" s="3" t="s">
        <v>2128</v>
      </c>
      <c r="P36" s="4"/>
      <c r="Q36" s="4"/>
      <c r="R36" s="4"/>
      <c r="S36" s="3" t="s">
        <v>2129</v>
      </c>
      <c r="T36" s="3" t="s">
        <v>2130</v>
      </c>
      <c r="U36" s="3" t="s">
        <v>2131</v>
      </c>
      <c r="V36" s="3" t="s">
        <v>1925</v>
      </c>
      <c r="W36" s="3" t="s">
        <v>2132</v>
      </c>
      <c r="X36" s="3" t="s">
        <v>2133</v>
      </c>
      <c r="Y36" s="3" t="s">
        <v>969</v>
      </c>
      <c r="Z36" s="3" t="s">
        <v>2134</v>
      </c>
      <c r="AA36" s="3" t="s">
        <v>971</v>
      </c>
      <c r="AB36" s="4"/>
      <c r="AC36" s="4"/>
      <c r="AD36" s="3" t="s">
        <v>2135</v>
      </c>
      <c r="AE36" s="3" t="s">
        <v>2136</v>
      </c>
      <c r="AF36" s="3" t="s">
        <v>2137</v>
      </c>
      <c r="AG36" s="3" t="s">
        <v>2138</v>
      </c>
      <c r="AH36" s="3" t="s">
        <v>971</v>
      </c>
      <c r="AI36" s="3" t="s">
        <v>2139</v>
      </c>
      <c r="AJ36" s="4"/>
      <c r="AK36" s="4"/>
      <c r="AL36" s="3" t="s">
        <v>2140</v>
      </c>
      <c r="AM36" s="3" t="s">
        <v>2141</v>
      </c>
      <c r="AN36" s="3" t="s">
        <v>2142</v>
      </c>
      <c r="AO36" s="3" t="s">
        <v>2143</v>
      </c>
      <c r="AP36" s="3" t="s">
        <v>2144</v>
      </c>
      <c r="AQ36" s="3" t="s">
        <v>2145</v>
      </c>
      <c r="AR36" s="3" t="s">
        <v>2146</v>
      </c>
      <c r="AS36" s="3" t="s">
        <v>971</v>
      </c>
      <c r="AT36" s="3" t="s">
        <v>971</v>
      </c>
      <c r="AU36" s="3" t="s">
        <v>1039</v>
      </c>
      <c r="AV36" s="3" t="s">
        <v>2147</v>
      </c>
      <c r="AW36" s="4"/>
      <c r="AX36" s="3" t="s">
        <v>969</v>
      </c>
      <c r="AY36" s="27">
        <v>15.99</v>
      </c>
      <c r="AZ36" s="5" t="s">
        <v>24</v>
      </c>
      <c r="BA36" s="5" t="s">
        <v>22</v>
      </c>
    </row>
    <row r="37" ht="15.75" customHeight="1">
      <c r="A37" s="47">
        <v>36.0</v>
      </c>
      <c r="B37" s="46">
        <v>121.0</v>
      </c>
      <c r="C37" s="5" t="s">
        <v>24</v>
      </c>
      <c r="D37" s="3" t="s">
        <v>953</v>
      </c>
      <c r="E37" s="25">
        <v>46208.59027777778</v>
      </c>
      <c r="F37" s="3" t="s">
        <v>208</v>
      </c>
      <c r="G37" s="3" t="s">
        <v>208</v>
      </c>
      <c r="H37" s="3" t="s">
        <v>609</v>
      </c>
      <c r="I37" s="3" t="s">
        <v>2148</v>
      </c>
      <c r="J37" s="3" t="s">
        <v>2149</v>
      </c>
      <c r="K37" s="3" t="s">
        <v>1238</v>
      </c>
      <c r="L37" s="3" t="s">
        <v>2150</v>
      </c>
      <c r="M37" s="26">
        <v>36701.0</v>
      </c>
      <c r="N37" s="3" t="s">
        <v>2151</v>
      </c>
      <c r="O37" s="3" t="s">
        <v>2152</v>
      </c>
      <c r="P37" s="3" t="s">
        <v>2153</v>
      </c>
      <c r="Q37" s="4"/>
      <c r="R37" s="4"/>
      <c r="S37" s="3" t="s">
        <v>2154</v>
      </c>
      <c r="T37" s="3" t="s">
        <v>2155</v>
      </c>
      <c r="U37" s="3" t="s">
        <v>2156</v>
      </c>
      <c r="V37" s="3" t="s">
        <v>2157</v>
      </c>
      <c r="W37" s="3" t="s">
        <v>2158</v>
      </c>
      <c r="X37" s="3" t="s">
        <v>2159</v>
      </c>
      <c r="Y37" s="3" t="s">
        <v>969</v>
      </c>
      <c r="Z37" s="3" t="s">
        <v>1690</v>
      </c>
      <c r="AA37" s="3" t="s">
        <v>969</v>
      </c>
      <c r="AB37" s="3" t="s">
        <v>2160</v>
      </c>
      <c r="AC37" s="3" t="s">
        <v>2161</v>
      </c>
      <c r="AD37" s="3" t="s">
        <v>2162</v>
      </c>
      <c r="AE37" s="3" t="s">
        <v>2163</v>
      </c>
      <c r="AF37" s="3" t="s">
        <v>2164</v>
      </c>
      <c r="AG37" s="3" t="s">
        <v>1133</v>
      </c>
      <c r="AH37" s="3" t="s">
        <v>971</v>
      </c>
      <c r="AI37" s="4"/>
      <c r="AJ37" s="3" t="s">
        <v>2165</v>
      </c>
      <c r="AK37" s="3" t="s">
        <v>2166</v>
      </c>
      <c r="AL37" s="3" t="s">
        <v>2167</v>
      </c>
      <c r="AM37" s="3" t="s">
        <v>2168</v>
      </c>
      <c r="AN37" s="3" t="s">
        <v>2169</v>
      </c>
      <c r="AO37" s="3" t="s">
        <v>2170</v>
      </c>
      <c r="AP37" s="3" t="s">
        <v>2171</v>
      </c>
      <c r="AQ37" s="3" t="s">
        <v>2172</v>
      </c>
      <c r="AR37" s="3" t="s">
        <v>2173</v>
      </c>
      <c r="AS37" s="3" t="s">
        <v>969</v>
      </c>
      <c r="AT37" s="3" t="s">
        <v>969</v>
      </c>
      <c r="AU37" s="3" t="s">
        <v>1039</v>
      </c>
      <c r="AV37" s="3" t="s">
        <v>2174</v>
      </c>
      <c r="AW37" s="3" t="s">
        <v>2175</v>
      </c>
      <c r="AX37" s="3" t="s">
        <v>969</v>
      </c>
      <c r="AY37" s="27">
        <v>15.99</v>
      </c>
      <c r="AZ37" s="5" t="s">
        <v>24</v>
      </c>
      <c r="BA37" s="5" t="s">
        <v>22</v>
      </c>
    </row>
    <row r="38" ht="15.75" customHeight="1">
      <c r="A38" s="45">
        <v>37.0</v>
      </c>
      <c r="B38" s="46">
        <v>114.0</v>
      </c>
      <c r="C38" s="5" t="s">
        <v>24</v>
      </c>
      <c r="D38" s="3" t="s">
        <v>953</v>
      </c>
      <c r="E38" s="25">
        <v>46207.90833333333</v>
      </c>
      <c r="F38" s="3" t="s">
        <v>2176</v>
      </c>
      <c r="G38" s="3" t="s">
        <v>2176</v>
      </c>
      <c r="H38" s="3" t="s">
        <v>720</v>
      </c>
      <c r="I38" s="3" t="s">
        <v>2177</v>
      </c>
      <c r="J38" s="3" t="s">
        <v>2178</v>
      </c>
      <c r="K38" s="3" t="s">
        <v>2179</v>
      </c>
      <c r="L38" s="3" t="s">
        <v>2180</v>
      </c>
      <c r="M38" s="26">
        <v>40352.0</v>
      </c>
      <c r="N38" s="3" t="s">
        <v>2181</v>
      </c>
      <c r="O38" s="3" t="s">
        <v>2180</v>
      </c>
      <c r="P38" s="4"/>
      <c r="Q38" s="3" t="s">
        <v>2182</v>
      </c>
      <c r="R38" s="4"/>
      <c r="S38" s="3" t="s">
        <v>2183</v>
      </c>
      <c r="T38" s="3" t="s">
        <v>2184</v>
      </c>
      <c r="U38" s="3" t="s">
        <v>2185</v>
      </c>
      <c r="V38" s="3" t="s">
        <v>2186</v>
      </c>
      <c r="W38" s="4"/>
      <c r="X38" s="3" t="s">
        <v>2187</v>
      </c>
      <c r="Y38" s="3" t="s">
        <v>969</v>
      </c>
      <c r="Z38" s="3" t="s">
        <v>2188</v>
      </c>
      <c r="AA38" s="3" t="s">
        <v>971</v>
      </c>
      <c r="AB38" s="4"/>
      <c r="AC38" s="4"/>
      <c r="AD38" s="3" t="s">
        <v>2189</v>
      </c>
      <c r="AE38" s="3" t="s">
        <v>2190</v>
      </c>
      <c r="AF38" s="3" t="s">
        <v>2191</v>
      </c>
      <c r="AG38" s="3" t="s">
        <v>2192</v>
      </c>
      <c r="AH38" s="3" t="s">
        <v>971</v>
      </c>
      <c r="AI38" s="4"/>
      <c r="AJ38" s="3" t="s">
        <v>969</v>
      </c>
      <c r="AK38" s="3" t="s">
        <v>2193</v>
      </c>
      <c r="AL38" s="3" t="s">
        <v>2194</v>
      </c>
      <c r="AM38" s="3" t="s">
        <v>2195</v>
      </c>
      <c r="AN38" s="3" t="s">
        <v>2196</v>
      </c>
      <c r="AO38" s="3" t="s">
        <v>2197</v>
      </c>
      <c r="AP38" s="3" t="s">
        <v>2198</v>
      </c>
      <c r="AQ38" s="3" t="s">
        <v>2199</v>
      </c>
      <c r="AR38" s="3" t="s">
        <v>2200</v>
      </c>
      <c r="AS38" s="3" t="s">
        <v>971</v>
      </c>
      <c r="AT38" s="3" t="s">
        <v>971</v>
      </c>
      <c r="AU38" s="3" t="s">
        <v>1039</v>
      </c>
      <c r="AV38" s="3" t="s">
        <v>2201</v>
      </c>
      <c r="AW38" s="4"/>
      <c r="AX38" s="3" t="s">
        <v>969</v>
      </c>
      <c r="AY38" s="27">
        <v>15.99</v>
      </c>
      <c r="AZ38" s="5" t="s">
        <v>24</v>
      </c>
      <c r="BA38" s="5" t="s">
        <v>22</v>
      </c>
    </row>
    <row r="39" ht="15.75" customHeight="1">
      <c r="A39" s="45">
        <v>38.0</v>
      </c>
      <c r="B39" s="46">
        <v>112.0</v>
      </c>
      <c r="C39" s="5" t="s">
        <v>24</v>
      </c>
      <c r="D39" s="3" t="s">
        <v>953</v>
      </c>
      <c r="E39" s="25">
        <v>46207.79375</v>
      </c>
      <c r="F39" s="3" t="s">
        <v>190</v>
      </c>
      <c r="G39" s="3" t="s">
        <v>190</v>
      </c>
      <c r="H39" s="3" t="s">
        <v>521</v>
      </c>
      <c r="I39" s="3" t="s">
        <v>2202</v>
      </c>
      <c r="J39" s="3" t="s">
        <v>2203</v>
      </c>
      <c r="K39" s="3" t="s">
        <v>189</v>
      </c>
      <c r="L39" s="3" t="s">
        <v>2204</v>
      </c>
      <c r="M39" s="26">
        <v>39285.0</v>
      </c>
      <c r="N39" s="3" t="s">
        <v>2205</v>
      </c>
      <c r="O39" s="3" t="s">
        <v>2204</v>
      </c>
      <c r="P39" s="4"/>
      <c r="Q39" s="4"/>
      <c r="R39" s="4"/>
      <c r="S39" s="3" t="s">
        <v>2206</v>
      </c>
      <c r="T39" s="3" t="s">
        <v>2207</v>
      </c>
      <c r="U39" s="3" t="s">
        <v>2208</v>
      </c>
      <c r="V39" s="3" t="s">
        <v>1684</v>
      </c>
      <c r="W39" s="4"/>
      <c r="X39" s="3" t="s">
        <v>1684</v>
      </c>
      <c r="Y39" s="3" t="s">
        <v>971</v>
      </c>
      <c r="Z39" s="3" t="s">
        <v>1128</v>
      </c>
      <c r="AA39" s="3" t="s">
        <v>971</v>
      </c>
      <c r="AB39" s="4"/>
      <c r="AC39" s="3" t="s">
        <v>2209</v>
      </c>
      <c r="AD39" s="3" t="s">
        <v>966</v>
      </c>
      <c r="AE39" s="4"/>
      <c r="AF39" s="4"/>
      <c r="AG39" s="4"/>
      <c r="AH39" s="3" t="s">
        <v>971</v>
      </c>
      <c r="AI39" s="4"/>
      <c r="AJ39" s="4"/>
      <c r="AK39" s="4"/>
      <c r="AL39" s="3" t="s">
        <v>2210</v>
      </c>
      <c r="AM39" s="3" t="s">
        <v>2211</v>
      </c>
      <c r="AN39" s="3" t="s">
        <v>2212</v>
      </c>
      <c r="AO39" s="3" t="s">
        <v>2213</v>
      </c>
      <c r="AP39" s="3" t="s">
        <v>2214</v>
      </c>
      <c r="AQ39" s="3" t="s">
        <v>2215</v>
      </c>
      <c r="AR39" s="3" t="s">
        <v>2216</v>
      </c>
      <c r="AS39" s="3" t="s">
        <v>969</v>
      </c>
      <c r="AT39" s="3" t="s">
        <v>969</v>
      </c>
      <c r="AU39" s="3" t="s">
        <v>1039</v>
      </c>
      <c r="AV39" s="3" t="s">
        <v>2217</v>
      </c>
      <c r="AW39" s="3" t="s">
        <v>2218</v>
      </c>
      <c r="AX39" s="3" t="s">
        <v>969</v>
      </c>
      <c r="AY39" s="27">
        <v>15.99</v>
      </c>
      <c r="AZ39" s="5" t="s">
        <v>24</v>
      </c>
      <c r="BA39" s="5" t="s">
        <v>22</v>
      </c>
    </row>
    <row r="40" ht="15.75" customHeight="1">
      <c r="A40" s="47">
        <v>39.0</v>
      </c>
      <c r="B40" s="46">
        <v>110.0</v>
      </c>
      <c r="C40" s="5" t="s">
        <v>24</v>
      </c>
      <c r="D40" s="3" t="s">
        <v>953</v>
      </c>
      <c r="E40" s="25">
        <v>46207.60763888889</v>
      </c>
      <c r="F40" s="3" t="s">
        <v>2219</v>
      </c>
      <c r="G40" s="3" t="s">
        <v>2220</v>
      </c>
      <c r="H40" s="3" t="s">
        <v>662</v>
      </c>
      <c r="I40" s="3" t="s">
        <v>2221</v>
      </c>
      <c r="J40" s="3" t="s">
        <v>2222</v>
      </c>
      <c r="K40" s="3" t="s">
        <v>2223</v>
      </c>
      <c r="L40" s="3" t="s">
        <v>2224</v>
      </c>
      <c r="M40" s="26">
        <v>31831.0</v>
      </c>
      <c r="N40" s="3" t="s">
        <v>2225</v>
      </c>
      <c r="O40" s="3" t="s">
        <v>2226</v>
      </c>
      <c r="P40" s="3" t="s">
        <v>2227</v>
      </c>
      <c r="Q40" s="3" t="s">
        <v>2227</v>
      </c>
      <c r="R40" s="3" t="s">
        <v>2227</v>
      </c>
      <c r="S40" s="3" t="s">
        <v>2228</v>
      </c>
      <c r="T40" s="3" t="s">
        <v>2229</v>
      </c>
      <c r="U40" s="3" t="s">
        <v>1124</v>
      </c>
      <c r="V40" s="3" t="s">
        <v>2230</v>
      </c>
      <c r="W40" s="4"/>
      <c r="X40" s="3" t="s">
        <v>2231</v>
      </c>
      <c r="Y40" s="3" t="s">
        <v>971</v>
      </c>
      <c r="Z40" s="3" t="s">
        <v>2232</v>
      </c>
      <c r="AA40" s="3" t="s">
        <v>971</v>
      </c>
      <c r="AB40" s="4"/>
      <c r="AC40" s="3" t="s">
        <v>6</v>
      </c>
      <c r="AD40" s="3" t="s">
        <v>971</v>
      </c>
      <c r="AE40" s="4"/>
      <c r="AF40" s="4"/>
      <c r="AG40" s="4"/>
      <c r="AH40" s="3" t="s">
        <v>969</v>
      </c>
      <c r="AI40" s="4"/>
      <c r="AJ40" s="4"/>
      <c r="AK40" s="4"/>
      <c r="AL40" s="4"/>
      <c r="AM40" s="3" t="s">
        <v>2233</v>
      </c>
      <c r="AN40" s="3" t="s">
        <v>2234</v>
      </c>
      <c r="AO40" s="3" t="s">
        <v>2235</v>
      </c>
      <c r="AP40" s="3" t="s">
        <v>2236</v>
      </c>
      <c r="AQ40" s="3" t="s">
        <v>2237</v>
      </c>
      <c r="AR40" s="3" t="s">
        <v>2238</v>
      </c>
      <c r="AS40" s="3" t="s">
        <v>969</v>
      </c>
      <c r="AT40" s="3" t="s">
        <v>969</v>
      </c>
      <c r="AU40" s="3" t="s">
        <v>1409</v>
      </c>
      <c r="AV40" s="3" t="s">
        <v>1261</v>
      </c>
      <c r="AW40" s="3" t="s">
        <v>2239</v>
      </c>
      <c r="AX40" s="3" t="s">
        <v>969</v>
      </c>
      <c r="AY40" s="27">
        <v>15.99</v>
      </c>
      <c r="AZ40" s="5" t="s">
        <v>24</v>
      </c>
      <c r="BA40" s="5" t="s">
        <v>14</v>
      </c>
    </row>
    <row r="41" ht="15.75" customHeight="1">
      <c r="A41" s="45">
        <v>40.0</v>
      </c>
      <c r="B41" s="46">
        <v>108.0</v>
      </c>
      <c r="C41" s="5" t="s">
        <v>24</v>
      </c>
      <c r="D41" s="3" t="s">
        <v>953</v>
      </c>
      <c r="E41" s="25">
        <v>46207.59027777778</v>
      </c>
      <c r="F41" s="3" t="s">
        <v>185</v>
      </c>
      <c r="G41" s="3" t="s">
        <v>185</v>
      </c>
      <c r="H41" s="3" t="s">
        <v>657</v>
      </c>
      <c r="I41" s="3" t="s">
        <v>2240</v>
      </c>
      <c r="J41" s="3" t="s">
        <v>2241</v>
      </c>
      <c r="K41" s="3" t="s">
        <v>1391</v>
      </c>
      <c r="L41" s="3" t="s">
        <v>2242</v>
      </c>
      <c r="M41" s="26">
        <v>38824.0</v>
      </c>
      <c r="N41" s="3" t="s">
        <v>2243</v>
      </c>
      <c r="O41" s="3" t="s">
        <v>2244</v>
      </c>
      <c r="P41" s="4"/>
      <c r="Q41" s="3" t="s">
        <v>2245</v>
      </c>
      <c r="R41" s="4"/>
      <c r="S41" s="3" t="s">
        <v>2246</v>
      </c>
      <c r="T41" s="3" t="s">
        <v>2247</v>
      </c>
      <c r="U41" s="3" t="s">
        <v>2248</v>
      </c>
      <c r="V41" s="3" t="s">
        <v>2107</v>
      </c>
      <c r="W41" s="3" t="s">
        <v>2249</v>
      </c>
      <c r="X41" s="3" t="s">
        <v>2250</v>
      </c>
      <c r="Y41" s="3" t="s">
        <v>969</v>
      </c>
      <c r="Z41" s="3" t="s">
        <v>2251</v>
      </c>
      <c r="AA41" s="3" t="s">
        <v>971</v>
      </c>
      <c r="AB41" s="4"/>
      <c r="AC41" s="3" t="s">
        <v>2252</v>
      </c>
      <c r="AD41" s="3" t="s">
        <v>2253</v>
      </c>
      <c r="AE41" s="4"/>
      <c r="AF41" s="3" t="s">
        <v>2254</v>
      </c>
      <c r="AG41" s="3" t="s">
        <v>2255</v>
      </c>
      <c r="AH41" s="3" t="s">
        <v>971</v>
      </c>
      <c r="AI41" s="4"/>
      <c r="AJ41" s="3" t="s">
        <v>2256</v>
      </c>
      <c r="AK41" s="3" t="s">
        <v>2257</v>
      </c>
      <c r="AL41" s="3" t="s">
        <v>2258</v>
      </c>
      <c r="AM41" s="3" t="s">
        <v>2259</v>
      </c>
      <c r="AN41" s="3" t="s">
        <v>2260</v>
      </c>
      <c r="AO41" s="3" t="s">
        <v>2261</v>
      </c>
      <c r="AP41" s="3" t="s">
        <v>2262</v>
      </c>
      <c r="AQ41" s="3" t="s">
        <v>2263</v>
      </c>
      <c r="AR41" s="3" t="s">
        <v>2264</v>
      </c>
      <c r="AS41" s="3" t="s">
        <v>969</v>
      </c>
      <c r="AT41" s="3" t="s">
        <v>969</v>
      </c>
      <c r="AU41" s="3" t="s">
        <v>1260</v>
      </c>
      <c r="AV41" s="3" t="s">
        <v>2265</v>
      </c>
      <c r="AW41" s="4"/>
      <c r="AX41" s="3" t="s">
        <v>969</v>
      </c>
      <c r="AY41" s="27">
        <v>15.99</v>
      </c>
      <c r="AZ41" s="5" t="s">
        <v>24</v>
      </c>
      <c r="BA41" s="5" t="s">
        <v>22</v>
      </c>
    </row>
    <row r="42" ht="15.75" customHeight="1">
      <c r="A42" s="45">
        <v>41.0</v>
      </c>
      <c r="B42" s="46">
        <v>106.0</v>
      </c>
      <c r="C42" s="5" t="s">
        <v>69</v>
      </c>
      <c r="D42" s="3" t="s">
        <v>953</v>
      </c>
      <c r="E42" s="25">
        <v>46206.87638888889</v>
      </c>
      <c r="F42" s="3" t="s">
        <v>180</v>
      </c>
      <c r="G42" s="3" t="s">
        <v>2266</v>
      </c>
      <c r="H42" s="3" t="s">
        <v>2267</v>
      </c>
      <c r="I42" s="3" t="s">
        <v>2268</v>
      </c>
      <c r="J42" s="3" t="s">
        <v>2269</v>
      </c>
      <c r="K42" s="3" t="s">
        <v>2270</v>
      </c>
      <c r="L42" s="3" t="s">
        <v>2271</v>
      </c>
      <c r="M42" s="26">
        <v>38857.0</v>
      </c>
      <c r="N42" s="3" t="s">
        <v>2272</v>
      </c>
      <c r="O42" s="3" t="s">
        <v>2273</v>
      </c>
      <c r="P42" s="3" t="s">
        <v>2274</v>
      </c>
      <c r="Q42" s="3" t="s">
        <v>2275</v>
      </c>
      <c r="R42" s="3" t="s">
        <v>2276</v>
      </c>
      <c r="S42" s="3" t="s">
        <v>2277</v>
      </c>
      <c r="T42" s="3" t="s">
        <v>2278</v>
      </c>
      <c r="U42" s="3" t="s">
        <v>1370</v>
      </c>
      <c r="V42" s="3" t="s">
        <v>2279</v>
      </c>
      <c r="W42" s="3" t="s">
        <v>1898</v>
      </c>
      <c r="X42" s="3" t="s">
        <v>2280</v>
      </c>
      <c r="Y42" s="3" t="s">
        <v>969</v>
      </c>
      <c r="Z42" s="3" t="s">
        <v>1900</v>
      </c>
      <c r="AA42" s="3" t="s">
        <v>971</v>
      </c>
      <c r="AB42" s="4"/>
      <c r="AC42" s="3" t="s">
        <v>969</v>
      </c>
      <c r="AD42" s="3" t="s">
        <v>2281</v>
      </c>
      <c r="AE42" s="3" t="s">
        <v>2282</v>
      </c>
      <c r="AF42" s="3" t="s">
        <v>2283</v>
      </c>
      <c r="AG42" s="3" t="s">
        <v>2284</v>
      </c>
      <c r="AH42" s="3" t="s">
        <v>971</v>
      </c>
      <c r="AI42" s="4"/>
      <c r="AJ42" s="4"/>
      <c r="AK42" s="4"/>
      <c r="AL42" s="3" t="s">
        <v>2285</v>
      </c>
      <c r="AM42" s="3" t="s">
        <v>2286</v>
      </c>
      <c r="AN42" s="3" t="s">
        <v>2287</v>
      </c>
      <c r="AO42" s="3" t="s">
        <v>2288</v>
      </c>
      <c r="AP42" s="3" t="s">
        <v>2289</v>
      </c>
      <c r="AQ42" s="3" t="s">
        <v>2290</v>
      </c>
      <c r="AR42" s="3" t="s">
        <v>2291</v>
      </c>
      <c r="AS42" s="3" t="s">
        <v>969</v>
      </c>
      <c r="AT42" s="3" t="s">
        <v>969</v>
      </c>
      <c r="AU42" s="3" t="s">
        <v>1039</v>
      </c>
      <c r="AV42" s="3" t="s">
        <v>2292</v>
      </c>
      <c r="AW42" s="3" t="s">
        <v>1288</v>
      </c>
      <c r="AX42" s="3" t="s">
        <v>969</v>
      </c>
      <c r="AY42" s="27">
        <v>15.99</v>
      </c>
      <c r="AZ42" s="5" t="s">
        <v>69</v>
      </c>
      <c r="BA42" s="5" t="s">
        <v>7</v>
      </c>
    </row>
    <row r="43" ht="15.75" customHeight="1">
      <c r="A43" s="47">
        <v>42.0</v>
      </c>
      <c r="B43" s="46">
        <v>103.0</v>
      </c>
      <c r="C43" s="5" t="s">
        <v>24</v>
      </c>
      <c r="D43" s="3" t="s">
        <v>953</v>
      </c>
      <c r="E43" s="25">
        <v>46206.61805555555</v>
      </c>
      <c r="F43" s="3" t="s">
        <v>173</v>
      </c>
      <c r="G43" s="3" t="s">
        <v>173</v>
      </c>
      <c r="H43" s="3" t="s">
        <v>175</v>
      </c>
      <c r="I43" s="3" t="s">
        <v>2293</v>
      </c>
      <c r="J43" s="3" t="s">
        <v>2294</v>
      </c>
      <c r="K43" s="3" t="s">
        <v>189</v>
      </c>
      <c r="L43" s="3" t="s">
        <v>2295</v>
      </c>
      <c r="M43" s="26">
        <v>34164.0</v>
      </c>
      <c r="N43" s="3" t="s">
        <v>2296</v>
      </c>
      <c r="O43" s="3" t="s">
        <v>2297</v>
      </c>
      <c r="P43" s="3" t="s">
        <v>2298</v>
      </c>
      <c r="Q43" s="3" t="s">
        <v>2299</v>
      </c>
      <c r="R43" s="3" t="s">
        <v>2299</v>
      </c>
      <c r="S43" s="3" t="s">
        <v>2300</v>
      </c>
      <c r="T43" s="3" t="s">
        <v>2301</v>
      </c>
      <c r="U43" s="3" t="s">
        <v>2302</v>
      </c>
      <c r="V43" s="3" t="s">
        <v>2303</v>
      </c>
      <c r="W43" s="3" t="s">
        <v>2304</v>
      </c>
      <c r="X43" s="3" t="s">
        <v>2305</v>
      </c>
      <c r="Y43" s="3" t="s">
        <v>971</v>
      </c>
      <c r="Z43" s="3" t="s">
        <v>1128</v>
      </c>
      <c r="AA43" s="3" t="s">
        <v>971</v>
      </c>
      <c r="AB43" s="4"/>
      <c r="AC43" s="3" t="s">
        <v>2306</v>
      </c>
      <c r="AD43" s="3" t="s">
        <v>971</v>
      </c>
      <c r="AE43" s="4"/>
      <c r="AF43" s="4"/>
      <c r="AG43" s="4"/>
      <c r="AH43" s="3" t="s">
        <v>969</v>
      </c>
      <c r="AI43" s="3" t="s">
        <v>2307</v>
      </c>
      <c r="AJ43" s="3" t="s">
        <v>2308</v>
      </c>
      <c r="AK43" s="4"/>
      <c r="AL43" s="3" t="s">
        <v>2309</v>
      </c>
      <c r="AM43" s="3" t="s">
        <v>2310</v>
      </c>
      <c r="AN43" s="3" t="s">
        <v>2311</v>
      </c>
      <c r="AO43" s="3" t="s">
        <v>2312</v>
      </c>
      <c r="AP43" s="3" t="s">
        <v>2313</v>
      </c>
      <c r="AQ43" s="3" t="s">
        <v>2314</v>
      </c>
      <c r="AR43" s="3" t="s">
        <v>2315</v>
      </c>
      <c r="AS43" s="3" t="s">
        <v>969</v>
      </c>
      <c r="AT43" s="3" t="s">
        <v>969</v>
      </c>
      <c r="AU43" s="3" t="s">
        <v>1039</v>
      </c>
      <c r="AV43" s="3" t="s">
        <v>2174</v>
      </c>
      <c r="AW43" s="3" t="s">
        <v>2316</v>
      </c>
      <c r="AX43" s="3" t="s">
        <v>969</v>
      </c>
      <c r="AY43" s="27">
        <v>15.99</v>
      </c>
      <c r="AZ43" s="5" t="s">
        <v>24</v>
      </c>
      <c r="BA43" s="5" t="s">
        <v>43</v>
      </c>
    </row>
    <row r="44" ht="15.75" customHeight="1">
      <c r="A44" s="45">
        <v>43.0</v>
      </c>
      <c r="B44" s="46">
        <v>100.0</v>
      </c>
      <c r="C44" s="5" t="s">
        <v>24</v>
      </c>
      <c r="D44" s="3" t="s">
        <v>953</v>
      </c>
      <c r="E44" s="25">
        <v>46206.02777777778</v>
      </c>
      <c r="F44" s="3" t="s">
        <v>168</v>
      </c>
      <c r="G44" s="3" t="s">
        <v>2317</v>
      </c>
      <c r="H44" s="3" t="s">
        <v>706</v>
      </c>
      <c r="I44" s="3" t="s">
        <v>2318</v>
      </c>
      <c r="J44" s="3" t="s">
        <v>2319</v>
      </c>
      <c r="K44" s="3" t="s">
        <v>2320</v>
      </c>
      <c r="L44" s="3" t="s">
        <v>2321</v>
      </c>
      <c r="M44" s="26">
        <v>37381.0</v>
      </c>
      <c r="N44" s="3" t="s">
        <v>2322</v>
      </c>
      <c r="O44" s="3" t="s">
        <v>2323</v>
      </c>
      <c r="P44" s="3" t="s">
        <v>2324</v>
      </c>
      <c r="Q44" s="3" t="s">
        <v>2325</v>
      </c>
      <c r="R44" s="3" t="s">
        <v>2326</v>
      </c>
      <c r="S44" s="3" t="s">
        <v>2327</v>
      </c>
      <c r="T44" s="3" t="s">
        <v>2328</v>
      </c>
      <c r="U44" s="3" t="s">
        <v>2329</v>
      </c>
      <c r="V44" s="3" t="s">
        <v>1370</v>
      </c>
      <c r="W44" s="3" t="s">
        <v>2330</v>
      </c>
      <c r="X44" s="3" t="s">
        <v>2331</v>
      </c>
      <c r="Y44" s="3" t="s">
        <v>971</v>
      </c>
      <c r="Z44" s="3" t="s">
        <v>2332</v>
      </c>
      <c r="AA44" s="3" t="s">
        <v>971</v>
      </c>
      <c r="AB44" s="4"/>
      <c r="AC44" s="3" t="s">
        <v>2333</v>
      </c>
      <c r="AD44" s="3" t="s">
        <v>2334</v>
      </c>
      <c r="AE44" s="3" t="s">
        <v>2335</v>
      </c>
      <c r="AF44" s="3" t="s">
        <v>2336</v>
      </c>
      <c r="AG44" s="3" t="s">
        <v>2337</v>
      </c>
      <c r="AH44" s="3" t="s">
        <v>971</v>
      </c>
      <c r="AI44" s="4"/>
      <c r="AJ44" s="4"/>
      <c r="AK44" s="4"/>
      <c r="AL44" s="3" t="s">
        <v>2338</v>
      </c>
      <c r="AM44" s="3" t="s">
        <v>2339</v>
      </c>
      <c r="AN44" s="3" t="s">
        <v>2340</v>
      </c>
      <c r="AO44" s="3" t="s">
        <v>2341</v>
      </c>
      <c r="AP44" s="3" t="s">
        <v>2342</v>
      </c>
      <c r="AQ44" s="3" t="s">
        <v>2343</v>
      </c>
      <c r="AR44" s="3" t="s">
        <v>2344</v>
      </c>
      <c r="AS44" s="3" t="s">
        <v>969</v>
      </c>
      <c r="AT44" s="3" t="s">
        <v>969</v>
      </c>
      <c r="AU44" s="3" t="s">
        <v>981</v>
      </c>
      <c r="AV44" s="3" t="s">
        <v>1261</v>
      </c>
      <c r="AW44" s="3" t="s">
        <v>2345</v>
      </c>
      <c r="AX44" s="3" t="s">
        <v>969</v>
      </c>
      <c r="AY44" s="27">
        <v>15.99</v>
      </c>
      <c r="AZ44" s="5" t="s">
        <v>24</v>
      </c>
      <c r="BA44" s="5" t="s">
        <v>22</v>
      </c>
    </row>
    <row r="45" ht="15.75" customHeight="1">
      <c r="A45" s="45">
        <v>44.0</v>
      </c>
      <c r="B45" s="46">
        <v>94.0</v>
      </c>
      <c r="C45" s="5" t="s">
        <v>24</v>
      </c>
      <c r="D45" s="3" t="s">
        <v>953</v>
      </c>
      <c r="E45" s="25">
        <v>46204.70277777778</v>
      </c>
      <c r="F45" s="3" t="s">
        <v>874</v>
      </c>
      <c r="G45" s="3" t="s">
        <v>874</v>
      </c>
      <c r="H45" s="3" t="s">
        <v>164</v>
      </c>
      <c r="I45" s="3" t="s">
        <v>2346</v>
      </c>
      <c r="J45" s="3" t="s">
        <v>2347</v>
      </c>
      <c r="K45" s="3" t="s">
        <v>2348</v>
      </c>
      <c r="L45" s="3" t="s">
        <v>2349</v>
      </c>
      <c r="M45" s="26">
        <v>38312.0</v>
      </c>
      <c r="N45" s="3" t="s">
        <v>2350</v>
      </c>
      <c r="O45" s="3" t="s">
        <v>2351</v>
      </c>
      <c r="P45" s="3" t="s">
        <v>2352</v>
      </c>
      <c r="Q45" s="3" t="s">
        <v>2353</v>
      </c>
      <c r="R45" s="3" t="s">
        <v>874</v>
      </c>
      <c r="S45" s="3" t="s">
        <v>2354</v>
      </c>
      <c r="T45" s="3" t="s">
        <v>2355</v>
      </c>
      <c r="U45" s="3" t="s">
        <v>2356</v>
      </c>
      <c r="V45" s="3" t="s">
        <v>1050</v>
      </c>
      <c r="W45" s="3" t="s">
        <v>2357</v>
      </c>
      <c r="X45" s="3" t="s">
        <v>2358</v>
      </c>
      <c r="Y45" s="3" t="s">
        <v>969</v>
      </c>
      <c r="Z45" s="3" t="s">
        <v>2332</v>
      </c>
      <c r="AA45" s="3" t="s">
        <v>969</v>
      </c>
      <c r="AB45" s="3" t="s">
        <v>1690</v>
      </c>
      <c r="AC45" s="3" t="s">
        <v>969</v>
      </c>
      <c r="AD45" s="3" t="s">
        <v>2359</v>
      </c>
      <c r="AE45" s="3" t="s">
        <v>2360</v>
      </c>
      <c r="AF45" s="3" t="s">
        <v>1250</v>
      </c>
      <c r="AG45" s="3" t="s">
        <v>2361</v>
      </c>
      <c r="AH45" s="3" t="s">
        <v>971</v>
      </c>
      <c r="AI45" s="4"/>
      <c r="AJ45" s="4"/>
      <c r="AK45" s="4"/>
      <c r="AL45" s="3" t="s">
        <v>2362</v>
      </c>
      <c r="AM45" s="3" t="s">
        <v>2363</v>
      </c>
      <c r="AN45" s="3" t="s">
        <v>2364</v>
      </c>
      <c r="AO45" s="3" t="s">
        <v>2365</v>
      </c>
      <c r="AP45" s="3" t="s">
        <v>2366</v>
      </c>
      <c r="AQ45" s="3" t="s">
        <v>2367</v>
      </c>
      <c r="AR45" s="3" t="s">
        <v>2368</v>
      </c>
      <c r="AS45" s="3" t="s">
        <v>969</v>
      </c>
      <c r="AT45" s="3" t="s">
        <v>969</v>
      </c>
      <c r="AU45" s="3" t="s">
        <v>1039</v>
      </c>
      <c r="AV45" s="3" t="s">
        <v>2369</v>
      </c>
      <c r="AW45" s="3" t="s">
        <v>2370</v>
      </c>
      <c r="AX45" s="3" t="s">
        <v>969</v>
      </c>
      <c r="AY45" s="27">
        <v>15.99</v>
      </c>
      <c r="AZ45" s="5" t="s">
        <v>24</v>
      </c>
      <c r="BA45" s="5" t="s">
        <v>43</v>
      </c>
    </row>
    <row r="46" ht="15.75" customHeight="1">
      <c r="A46" s="47">
        <v>45.0</v>
      </c>
      <c r="B46" s="46">
        <v>89.0</v>
      </c>
      <c r="C46" s="5" t="s">
        <v>24</v>
      </c>
      <c r="D46" s="3" t="s">
        <v>953</v>
      </c>
      <c r="E46" s="25">
        <v>46203.72638888889</v>
      </c>
      <c r="F46" s="3" t="s">
        <v>2371</v>
      </c>
      <c r="G46" s="3" t="s">
        <v>2371</v>
      </c>
      <c r="H46" s="3" t="s">
        <v>154</v>
      </c>
      <c r="I46" s="3" t="s">
        <v>154</v>
      </c>
      <c r="J46" s="3" t="s">
        <v>2372</v>
      </c>
      <c r="K46" s="3" t="s">
        <v>2373</v>
      </c>
      <c r="L46" s="3" t="s">
        <v>2374</v>
      </c>
      <c r="M46" s="26">
        <v>35431.0</v>
      </c>
      <c r="N46" s="3" t="s">
        <v>2375</v>
      </c>
      <c r="O46" s="3" t="s">
        <v>2374</v>
      </c>
      <c r="P46" s="3" t="s">
        <v>2376</v>
      </c>
      <c r="Q46" s="3" t="s">
        <v>2377</v>
      </c>
      <c r="R46" s="3" t="s">
        <v>2378</v>
      </c>
      <c r="S46" s="3" t="s">
        <v>2379</v>
      </c>
      <c r="T46" s="3" t="s">
        <v>2380</v>
      </c>
      <c r="U46" s="3" t="s">
        <v>2381</v>
      </c>
      <c r="V46" s="3" t="s">
        <v>2382</v>
      </c>
      <c r="W46" s="3" t="s">
        <v>2383</v>
      </c>
      <c r="X46" s="3" t="s">
        <v>2384</v>
      </c>
      <c r="Y46" s="3" t="s">
        <v>971</v>
      </c>
      <c r="Z46" s="3" t="s">
        <v>1247</v>
      </c>
      <c r="AA46" s="3" t="s">
        <v>969</v>
      </c>
      <c r="AB46" s="3" t="s">
        <v>2385</v>
      </c>
      <c r="AC46" s="3" t="s">
        <v>6</v>
      </c>
      <c r="AD46" s="3" t="s">
        <v>2386</v>
      </c>
      <c r="AE46" s="3" t="s">
        <v>2387</v>
      </c>
      <c r="AF46" s="3" t="s">
        <v>2388</v>
      </c>
      <c r="AG46" s="3" t="s">
        <v>1002</v>
      </c>
      <c r="AH46" s="3" t="s">
        <v>971</v>
      </c>
      <c r="AI46" s="3" t="s">
        <v>966</v>
      </c>
      <c r="AJ46" s="3" t="s">
        <v>966</v>
      </c>
      <c r="AK46" s="3" t="s">
        <v>966</v>
      </c>
      <c r="AL46" s="3" t="s">
        <v>2389</v>
      </c>
      <c r="AM46" s="3" t="s">
        <v>1061</v>
      </c>
      <c r="AN46" s="3" t="s">
        <v>2390</v>
      </c>
      <c r="AO46" s="3" t="s">
        <v>2391</v>
      </c>
      <c r="AP46" s="3" t="s">
        <v>2392</v>
      </c>
      <c r="AQ46" s="3" t="s">
        <v>2393</v>
      </c>
      <c r="AR46" s="3" t="s">
        <v>2394</v>
      </c>
      <c r="AS46" s="3" t="s">
        <v>969</v>
      </c>
      <c r="AT46" s="3" t="s">
        <v>969</v>
      </c>
      <c r="AU46" s="3" t="s">
        <v>1409</v>
      </c>
      <c r="AV46" s="3" t="s">
        <v>982</v>
      </c>
      <c r="AW46" s="3" t="s">
        <v>2395</v>
      </c>
      <c r="AX46" s="3" t="s">
        <v>969</v>
      </c>
      <c r="AY46" s="27">
        <v>15.99</v>
      </c>
      <c r="AZ46" s="5" t="s">
        <v>24</v>
      </c>
      <c r="BA46" s="5" t="s">
        <v>43</v>
      </c>
    </row>
    <row r="47" ht="15.75" customHeight="1">
      <c r="A47" s="45">
        <v>46.0</v>
      </c>
      <c r="B47" s="46">
        <v>87.0</v>
      </c>
      <c r="C47" s="5" t="s">
        <v>69</v>
      </c>
      <c r="D47" s="3" t="s">
        <v>953</v>
      </c>
      <c r="E47" s="25">
        <v>46203.0625</v>
      </c>
      <c r="F47" s="3" t="s">
        <v>152</v>
      </c>
      <c r="G47" s="3" t="s">
        <v>2396</v>
      </c>
      <c r="H47" s="3" t="s">
        <v>715</v>
      </c>
      <c r="I47" s="3" t="s">
        <v>2397</v>
      </c>
      <c r="J47" s="3" t="s">
        <v>2398</v>
      </c>
      <c r="K47" s="3" t="s">
        <v>1789</v>
      </c>
      <c r="L47" s="3" t="s">
        <v>2399</v>
      </c>
      <c r="M47" s="26">
        <v>36107.0</v>
      </c>
      <c r="N47" s="3" t="s">
        <v>2400</v>
      </c>
      <c r="O47" s="3" t="s">
        <v>2401</v>
      </c>
      <c r="P47" s="3" t="s">
        <v>2402</v>
      </c>
      <c r="Q47" s="3" t="s">
        <v>2403</v>
      </c>
      <c r="R47" s="3" t="s">
        <v>2404</v>
      </c>
      <c r="S47" s="3" t="s">
        <v>2405</v>
      </c>
      <c r="T47" s="3" t="s">
        <v>2406</v>
      </c>
      <c r="U47" s="3" t="s">
        <v>1271</v>
      </c>
      <c r="V47" s="3" t="s">
        <v>2407</v>
      </c>
      <c r="W47" s="3" t="s">
        <v>2408</v>
      </c>
      <c r="X47" s="3" t="s">
        <v>2409</v>
      </c>
      <c r="Y47" s="3" t="s">
        <v>969</v>
      </c>
      <c r="Z47" s="3" t="s">
        <v>1484</v>
      </c>
      <c r="AA47" s="3" t="s">
        <v>971</v>
      </c>
      <c r="AB47" s="4"/>
      <c r="AC47" s="3" t="s">
        <v>969</v>
      </c>
      <c r="AD47" s="3" t="s">
        <v>2410</v>
      </c>
      <c r="AE47" s="4"/>
      <c r="AF47" s="3" t="s">
        <v>2411</v>
      </c>
      <c r="AG47" s="3" t="s">
        <v>1030</v>
      </c>
      <c r="AH47" s="3" t="s">
        <v>971</v>
      </c>
      <c r="AI47" s="4"/>
      <c r="AJ47" s="3" t="s">
        <v>969</v>
      </c>
      <c r="AK47" s="3" t="s">
        <v>2412</v>
      </c>
      <c r="AL47" s="3" t="s">
        <v>2413</v>
      </c>
      <c r="AM47" s="3" t="s">
        <v>2414</v>
      </c>
      <c r="AN47" s="3" t="s">
        <v>2415</v>
      </c>
      <c r="AO47" s="3" t="s">
        <v>2416</v>
      </c>
      <c r="AP47" s="3" t="s">
        <v>2417</v>
      </c>
      <c r="AQ47" s="3" t="s">
        <v>2418</v>
      </c>
      <c r="AR47" s="3" t="s">
        <v>2419</v>
      </c>
      <c r="AS47" s="3" t="s">
        <v>969</v>
      </c>
      <c r="AT47" s="3" t="s">
        <v>969</v>
      </c>
      <c r="AU47" s="3" t="s">
        <v>1039</v>
      </c>
      <c r="AV47" s="3" t="s">
        <v>2420</v>
      </c>
      <c r="AW47" s="3" t="s">
        <v>2421</v>
      </c>
      <c r="AX47" s="3" t="s">
        <v>969</v>
      </c>
      <c r="AY47" s="27">
        <v>15.99</v>
      </c>
      <c r="AZ47" s="5" t="s">
        <v>69</v>
      </c>
      <c r="BA47" s="5" t="s">
        <v>22</v>
      </c>
    </row>
    <row r="48" ht="15.75" customHeight="1">
      <c r="A48" s="45">
        <v>47.0</v>
      </c>
      <c r="B48" s="46">
        <v>86.0</v>
      </c>
      <c r="C48" s="5" t="s">
        <v>69</v>
      </c>
      <c r="D48" s="3" t="s">
        <v>953</v>
      </c>
      <c r="E48" s="25">
        <v>46202.81666666667</v>
      </c>
      <c r="F48" s="3" t="s">
        <v>2422</v>
      </c>
      <c r="G48" s="3" t="s">
        <v>2422</v>
      </c>
      <c r="H48" s="3" t="s">
        <v>627</v>
      </c>
      <c r="I48" s="3" t="s">
        <v>2423</v>
      </c>
      <c r="J48" s="3" t="s">
        <v>2424</v>
      </c>
      <c r="K48" s="3" t="s">
        <v>2425</v>
      </c>
      <c r="L48" s="3" t="s">
        <v>2426</v>
      </c>
      <c r="M48" s="26">
        <v>37496.0</v>
      </c>
      <c r="N48" s="3" t="s">
        <v>2427</v>
      </c>
      <c r="O48" s="3" t="s">
        <v>2428</v>
      </c>
      <c r="P48" s="4"/>
      <c r="Q48" s="3" t="s">
        <v>2429</v>
      </c>
      <c r="R48" s="4"/>
      <c r="S48" s="3" t="s">
        <v>2430</v>
      </c>
      <c r="T48" s="3" t="s">
        <v>2431</v>
      </c>
      <c r="U48" s="3" t="s">
        <v>1050</v>
      </c>
      <c r="V48" s="3" t="s">
        <v>1738</v>
      </c>
      <c r="W48" s="3" t="s">
        <v>2432</v>
      </c>
      <c r="X48" s="3" t="s">
        <v>2433</v>
      </c>
      <c r="Y48" s="3" t="s">
        <v>971</v>
      </c>
      <c r="Z48" s="3" t="s">
        <v>1690</v>
      </c>
      <c r="AA48" s="3" t="s">
        <v>969</v>
      </c>
      <c r="AB48" s="3" t="s">
        <v>2434</v>
      </c>
      <c r="AC48" s="3" t="s">
        <v>6</v>
      </c>
      <c r="AD48" s="3" t="s">
        <v>2435</v>
      </c>
      <c r="AE48" s="3" t="s">
        <v>2436</v>
      </c>
      <c r="AF48" s="3" t="s">
        <v>2437</v>
      </c>
      <c r="AG48" s="3" t="s">
        <v>1804</v>
      </c>
      <c r="AH48" s="3" t="s">
        <v>971</v>
      </c>
      <c r="AI48" s="4"/>
      <c r="AJ48" s="3" t="s">
        <v>2438</v>
      </c>
      <c r="AK48" s="3" t="s">
        <v>2439</v>
      </c>
      <c r="AL48" s="4"/>
      <c r="AM48" s="3" t="s">
        <v>2440</v>
      </c>
      <c r="AN48" s="3" t="s">
        <v>2441</v>
      </c>
      <c r="AO48" s="3" t="s">
        <v>2442</v>
      </c>
      <c r="AP48" s="3" t="s">
        <v>2443</v>
      </c>
      <c r="AQ48" s="3" t="s">
        <v>2444</v>
      </c>
      <c r="AR48" s="3" t="s">
        <v>2445</v>
      </c>
      <c r="AS48" s="3" t="s">
        <v>969</v>
      </c>
      <c r="AT48" s="3" t="s">
        <v>969</v>
      </c>
      <c r="AU48" s="3" t="s">
        <v>1260</v>
      </c>
      <c r="AV48" s="3" t="s">
        <v>917</v>
      </c>
      <c r="AW48" s="3" t="s">
        <v>2446</v>
      </c>
      <c r="AX48" s="3" t="s">
        <v>969</v>
      </c>
      <c r="AY48" s="27">
        <v>15.99</v>
      </c>
      <c r="AZ48" s="5" t="s">
        <v>69</v>
      </c>
      <c r="BA48" s="5" t="s">
        <v>22</v>
      </c>
    </row>
    <row r="49" ht="15.75" customHeight="1">
      <c r="A49" s="47">
        <v>48.0</v>
      </c>
      <c r="B49" s="46">
        <v>85.0</v>
      </c>
      <c r="C49" s="5" t="s">
        <v>24</v>
      </c>
      <c r="D49" s="3" t="s">
        <v>953</v>
      </c>
      <c r="E49" s="25">
        <v>46202.67222222222</v>
      </c>
      <c r="F49" s="3" t="s">
        <v>146</v>
      </c>
      <c r="G49" s="3" t="s">
        <v>146</v>
      </c>
      <c r="H49" s="3" t="s">
        <v>147</v>
      </c>
      <c r="I49" s="3" t="s">
        <v>147</v>
      </c>
      <c r="J49" s="3" t="s">
        <v>2447</v>
      </c>
      <c r="K49" s="3" t="s">
        <v>2448</v>
      </c>
      <c r="L49" s="3" t="s">
        <v>2449</v>
      </c>
      <c r="M49" s="26">
        <v>36982.0</v>
      </c>
      <c r="N49" s="3" t="s">
        <v>2450</v>
      </c>
      <c r="O49" s="3" t="s">
        <v>2449</v>
      </c>
      <c r="P49" s="4"/>
      <c r="Q49" s="3" t="s">
        <v>2451</v>
      </c>
      <c r="R49" s="3" t="s">
        <v>146</v>
      </c>
      <c r="S49" s="3" t="s">
        <v>2452</v>
      </c>
      <c r="T49" s="3" t="s">
        <v>2453</v>
      </c>
      <c r="U49" s="3" t="s">
        <v>1896</v>
      </c>
      <c r="V49" s="3" t="s">
        <v>2454</v>
      </c>
      <c r="W49" s="3" t="s">
        <v>2455</v>
      </c>
      <c r="X49" s="3" t="s">
        <v>2456</v>
      </c>
      <c r="Y49" s="3" t="s">
        <v>971</v>
      </c>
      <c r="Z49" s="3" t="s">
        <v>2457</v>
      </c>
      <c r="AA49" s="3" t="s">
        <v>969</v>
      </c>
      <c r="AB49" s="3" t="s">
        <v>2458</v>
      </c>
      <c r="AC49" s="3" t="s">
        <v>2459</v>
      </c>
      <c r="AD49" s="3" t="s">
        <v>969</v>
      </c>
      <c r="AE49" s="3" t="s">
        <v>2460</v>
      </c>
      <c r="AF49" s="3" t="s">
        <v>2461</v>
      </c>
      <c r="AG49" s="3" t="s">
        <v>2462</v>
      </c>
      <c r="AH49" s="3" t="s">
        <v>969</v>
      </c>
      <c r="AI49" s="3" t="s">
        <v>2463</v>
      </c>
      <c r="AJ49" s="3" t="s">
        <v>971</v>
      </c>
      <c r="AK49" s="4"/>
      <c r="AL49" s="3" t="s">
        <v>2464</v>
      </c>
      <c r="AM49" s="3" t="s">
        <v>2465</v>
      </c>
      <c r="AN49" s="3" t="s">
        <v>2466</v>
      </c>
      <c r="AO49" s="3" t="s">
        <v>2467</v>
      </c>
      <c r="AP49" s="3" t="s">
        <v>2468</v>
      </c>
      <c r="AQ49" s="3" t="s">
        <v>2469</v>
      </c>
      <c r="AR49" s="3" t="s">
        <v>2470</v>
      </c>
      <c r="AS49" s="3" t="s">
        <v>969</v>
      </c>
      <c r="AT49" s="3" t="s">
        <v>969</v>
      </c>
      <c r="AU49" s="3" t="s">
        <v>1039</v>
      </c>
      <c r="AV49" s="3" t="s">
        <v>1261</v>
      </c>
      <c r="AW49" s="3" t="s">
        <v>2471</v>
      </c>
      <c r="AX49" s="3" t="s">
        <v>969</v>
      </c>
      <c r="AY49" s="27">
        <v>15.99</v>
      </c>
      <c r="AZ49" s="5" t="s">
        <v>24</v>
      </c>
      <c r="BA49" s="5" t="s">
        <v>7</v>
      </c>
    </row>
    <row r="50" ht="15.75" customHeight="1">
      <c r="A50" s="45">
        <v>49.0</v>
      </c>
      <c r="B50" s="46">
        <v>84.0</v>
      </c>
      <c r="C50" s="5" t="s">
        <v>69</v>
      </c>
      <c r="D50" s="3" t="s">
        <v>953</v>
      </c>
      <c r="E50" s="25">
        <v>46202.60555555556</v>
      </c>
      <c r="F50" s="3" t="s">
        <v>141</v>
      </c>
      <c r="G50" s="3" t="s">
        <v>141</v>
      </c>
      <c r="H50" s="3" t="s">
        <v>142</v>
      </c>
      <c r="I50" s="3" t="s">
        <v>2472</v>
      </c>
      <c r="J50" s="3" t="s">
        <v>2473</v>
      </c>
      <c r="K50" s="3" t="s">
        <v>2348</v>
      </c>
      <c r="L50" s="3" t="s">
        <v>2474</v>
      </c>
      <c r="M50" s="26">
        <v>39906.0</v>
      </c>
      <c r="N50" s="3" t="s">
        <v>2475</v>
      </c>
      <c r="O50" s="3" t="s">
        <v>2476</v>
      </c>
      <c r="P50" s="3" t="s">
        <v>2477</v>
      </c>
      <c r="Q50" s="4"/>
      <c r="R50" s="4"/>
      <c r="S50" s="3" t="s">
        <v>2478</v>
      </c>
      <c r="T50" s="3" t="s">
        <v>2479</v>
      </c>
      <c r="U50" s="3" t="s">
        <v>2208</v>
      </c>
      <c r="V50" s="3" t="s">
        <v>2480</v>
      </c>
      <c r="W50" s="4"/>
      <c r="X50" s="3" t="s">
        <v>2481</v>
      </c>
      <c r="Y50" s="3" t="s">
        <v>969</v>
      </c>
      <c r="Z50" s="3" t="s">
        <v>2332</v>
      </c>
      <c r="AA50" s="3" t="s">
        <v>971</v>
      </c>
      <c r="AB50" s="4"/>
      <c r="AC50" s="3" t="s">
        <v>2482</v>
      </c>
      <c r="AD50" s="3" t="s">
        <v>2483</v>
      </c>
      <c r="AE50" s="4"/>
      <c r="AF50" s="3" t="s">
        <v>1250</v>
      </c>
      <c r="AG50" s="3" t="s">
        <v>2040</v>
      </c>
      <c r="AH50" s="3" t="s">
        <v>971</v>
      </c>
      <c r="AI50" s="4"/>
      <c r="AJ50" s="3" t="s">
        <v>971</v>
      </c>
      <c r="AK50" s="4"/>
      <c r="AL50" s="3" t="s">
        <v>2484</v>
      </c>
      <c r="AM50" s="3" t="s">
        <v>2485</v>
      </c>
      <c r="AN50" s="3" t="s">
        <v>2486</v>
      </c>
      <c r="AO50" s="3" t="s">
        <v>2487</v>
      </c>
      <c r="AP50" s="3" t="s">
        <v>2488</v>
      </c>
      <c r="AQ50" s="3" t="s">
        <v>2489</v>
      </c>
      <c r="AR50" s="3" t="s">
        <v>2490</v>
      </c>
      <c r="AS50" s="3" t="s">
        <v>969</v>
      </c>
      <c r="AT50" s="3" t="s">
        <v>969</v>
      </c>
      <c r="AU50" s="3" t="s">
        <v>1233</v>
      </c>
      <c r="AV50" s="3" t="s">
        <v>1470</v>
      </c>
      <c r="AW50" s="3" t="s">
        <v>2491</v>
      </c>
      <c r="AX50" s="3" t="s">
        <v>969</v>
      </c>
      <c r="AY50" s="27">
        <v>15.99</v>
      </c>
      <c r="AZ50" s="5" t="s">
        <v>69</v>
      </c>
      <c r="BA50" s="5" t="s">
        <v>7</v>
      </c>
    </row>
    <row r="51" ht="15.75" customHeight="1">
      <c r="A51" s="45">
        <v>50.0</v>
      </c>
      <c r="B51" s="46">
        <v>80.0</v>
      </c>
      <c r="C51" s="5" t="s">
        <v>24</v>
      </c>
      <c r="D51" s="3" t="s">
        <v>953</v>
      </c>
      <c r="E51" s="25">
        <v>46201.85694444444</v>
      </c>
      <c r="F51" s="3" t="s">
        <v>133</v>
      </c>
      <c r="G51" s="3" t="s">
        <v>133</v>
      </c>
      <c r="H51" s="3" t="s">
        <v>541</v>
      </c>
      <c r="I51" s="3" t="s">
        <v>541</v>
      </c>
      <c r="J51" s="3" t="s">
        <v>2492</v>
      </c>
      <c r="K51" s="3" t="s">
        <v>2348</v>
      </c>
      <c r="L51" s="3" t="s">
        <v>2493</v>
      </c>
      <c r="M51" s="26">
        <v>39152.0</v>
      </c>
      <c r="N51" s="3" t="s">
        <v>2494</v>
      </c>
      <c r="O51" s="3" t="s">
        <v>2495</v>
      </c>
      <c r="P51" s="4"/>
      <c r="Q51" s="4"/>
      <c r="R51" s="4"/>
      <c r="S51" s="3" t="s">
        <v>2496</v>
      </c>
      <c r="T51" s="3" t="s">
        <v>2497</v>
      </c>
      <c r="U51" s="3" t="s">
        <v>1949</v>
      </c>
      <c r="V51" s="3" t="s">
        <v>1949</v>
      </c>
      <c r="W51" s="3" t="s">
        <v>2498</v>
      </c>
      <c r="X51" s="3" t="s">
        <v>2499</v>
      </c>
      <c r="Y51" s="3" t="s">
        <v>969</v>
      </c>
      <c r="Z51" s="3" t="s">
        <v>2332</v>
      </c>
      <c r="AA51" s="3" t="s">
        <v>971</v>
      </c>
      <c r="AB51" s="4"/>
      <c r="AC51" s="4"/>
      <c r="AD51" s="3" t="s">
        <v>2500</v>
      </c>
      <c r="AE51" s="4"/>
      <c r="AF51" s="4"/>
      <c r="AG51" s="4"/>
      <c r="AH51" s="3" t="s">
        <v>971</v>
      </c>
      <c r="AI51" s="4"/>
      <c r="AJ51" s="4"/>
      <c r="AK51" s="4"/>
      <c r="AL51" s="3" t="s">
        <v>2501</v>
      </c>
      <c r="AM51" s="3" t="s">
        <v>2502</v>
      </c>
      <c r="AN51" s="3" t="s">
        <v>2503</v>
      </c>
      <c r="AO51" s="3" t="s">
        <v>2504</v>
      </c>
      <c r="AP51" s="3" t="s">
        <v>2505</v>
      </c>
      <c r="AQ51" s="3" t="s">
        <v>2506</v>
      </c>
      <c r="AR51" s="3" t="s">
        <v>2507</v>
      </c>
      <c r="AS51" s="3" t="s">
        <v>971</v>
      </c>
      <c r="AT51" s="3" t="s">
        <v>971</v>
      </c>
      <c r="AU51" s="3" t="s">
        <v>1039</v>
      </c>
      <c r="AV51" s="3" t="s">
        <v>2508</v>
      </c>
      <c r="AW51" s="3" t="s">
        <v>1288</v>
      </c>
      <c r="AX51" s="3" t="s">
        <v>969</v>
      </c>
      <c r="AY51" s="27">
        <v>15.99</v>
      </c>
      <c r="AZ51" s="5" t="s">
        <v>24</v>
      </c>
      <c r="BA51" s="5" t="s">
        <v>22</v>
      </c>
    </row>
    <row r="52" ht="15.75" customHeight="1">
      <c r="A52" s="47">
        <v>51.0</v>
      </c>
      <c r="B52" s="46">
        <v>78.0</v>
      </c>
      <c r="C52" s="5" t="s">
        <v>24</v>
      </c>
      <c r="D52" s="3" t="s">
        <v>953</v>
      </c>
      <c r="E52" s="25">
        <v>46200.76944444444</v>
      </c>
      <c r="F52" s="3" t="s">
        <v>131</v>
      </c>
      <c r="G52" s="3" t="s">
        <v>131</v>
      </c>
      <c r="H52" s="3" t="s">
        <v>822</v>
      </c>
      <c r="I52" s="3" t="s">
        <v>2509</v>
      </c>
      <c r="J52" s="3" t="s">
        <v>2510</v>
      </c>
      <c r="K52" s="3" t="s">
        <v>130</v>
      </c>
      <c r="L52" s="3" t="s">
        <v>2511</v>
      </c>
      <c r="M52" s="26">
        <v>34477.0</v>
      </c>
      <c r="N52" s="3" t="s">
        <v>2512</v>
      </c>
      <c r="O52" s="3" t="s">
        <v>2513</v>
      </c>
      <c r="P52" s="3" t="s">
        <v>2514</v>
      </c>
      <c r="Q52" s="3" t="s">
        <v>2515</v>
      </c>
      <c r="R52" s="4"/>
      <c r="S52" s="3" t="s">
        <v>2516</v>
      </c>
      <c r="T52" s="3" t="s">
        <v>2517</v>
      </c>
      <c r="U52" s="3" t="s">
        <v>1896</v>
      </c>
      <c r="V52" s="3" t="s">
        <v>2518</v>
      </c>
      <c r="W52" s="3" t="s">
        <v>2519</v>
      </c>
      <c r="X52" s="3" t="s">
        <v>2520</v>
      </c>
      <c r="Y52" s="3" t="s">
        <v>971</v>
      </c>
      <c r="Z52" s="3" t="s">
        <v>1690</v>
      </c>
      <c r="AA52" s="3" t="s">
        <v>971</v>
      </c>
      <c r="AB52" s="4"/>
      <c r="AC52" s="3" t="s">
        <v>969</v>
      </c>
      <c r="AD52" s="3" t="s">
        <v>2521</v>
      </c>
      <c r="AE52" s="3" t="s">
        <v>2522</v>
      </c>
      <c r="AF52" s="3" t="s">
        <v>2523</v>
      </c>
      <c r="AG52" s="3" t="s">
        <v>2524</v>
      </c>
      <c r="AH52" s="3" t="s">
        <v>971</v>
      </c>
      <c r="AI52" s="4"/>
      <c r="AJ52" s="4"/>
      <c r="AK52" s="4"/>
      <c r="AL52" s="3" t="s">
        <v>2525</v>
      </c>
      <c r="AM52" s="3" t="s">
        <v>2526</v>
      </c>
      <c r="AN52" s="3" t="s">
        <v>2527</v>
      </c>
      <c r="AO52" s="3" t="s">
        <v>2528</v>
      </c>
      <c r="AP52" s="3" t="s">
        <v>2529</v>
      </c>
      <c r="AQ52" s="3" t="s">
        <v>2530</v>
      </c>
      <c r="AR52" s="3" t="s">
        <v>2531</v>
      </c>
      <c r="AS52" s="3" t="s">
        <v>969</v>
      </c>
      <c r="AT52" s="3" t="s">
        <v>969</v>
      </c>
      <c r="AU52" s="3" t="s">
        <v>1039</v>
      </c>
      <c r="AV52" s="3" t="s">
        <v>1144</v>
      </c>
      <c r="AW52" s="3" t="s">
        <v>1288</v>
      </c>
      <c r="AX52" s="3" t="s">
        <v>969</v>
      </c>
      <c r="AY52" s="27">
        <v>15.99</v>
      </c>
      <c r="AZ52" s="5" t="s">
        <v>24</v>
      </c>
      <c r="BA52" s="5" t="s">
        <v>22</v>
      </c>
    </row>
    <row r="53" ht="15.75" customHeight="1">
      <c r="A53" s="45">
        <v>52.0</v>
      </c>
      <c r="B53" s="46">
        <v>75.0</v>
      </c>
      <c r="C53" s="5" t="s">
        <v>24</v>
      </c>
      <c r="D53" s="3" t="s">
        <v>953</v>
      </c>
      <c r="E53" s="25">
        <v>46199.98541666667</v>
      </c>
      <c r="F53" s="3" t="s">
        <v>2532</v>
      </c>
      <c r="G53" s="3" t="s">
        <v>2532</v>
      </c>
      <c r="H53" s="3" t="s">
        <v>584</v>
      </c>
      <c r="I53" s="3" t="s">
        <v>2533</v>
      </c>
      <c r="J53" s="4"/>
      <c r="K53" s="3" t="s">
        <v>2223</v>
      </c>
      <c r="L53" s="3" t="s">
        <v>2534</v>
      </c>
      <c r="M53" s="26">
        <v>38748.0</v>
      </c>
      <c r="N53" s="3" t="s">
        <v>2535</v>
      </c>
      <c r="O53" s="3" t="s">
        <v>2536</v>
      </c>
      <c r="P53" s="4"/>
      <c r="Q53" s="4"/>
      <c r="R53" s="4"/>
      <c r="S53" s="3" t="s">
        <v>2537</v>
      </c>
      <c r="T53" s="3" t="s">
        <v>2538</v>
      </c>
      <c r="U53" s="3" t="s">
        <v>1124</v>
      </c>
      <c r="V53" s="3" t="s">
        <v>2539</v>
      </c>
      <c r="W53" s="3" t="s">
        <v>2540</v>
      </c>
      <c r="X53" s="3" t="s">
        <v>2541</v>
      </c>
      <c r="Y53" s="3" t="s">
        <v>969</v>
      </c>
      <c r="Z53" s="4"/>
      <c r="AA53" s="3" t="s">
        <v>971</v>
      </c>
      <c r="AB53" s="4"/>
      <c r="AC53" s="4"/>
      <c r="AD53" s="3" t="s">
        <v>2542</v>
      </c>
      <c r="AE53" s="3" t="s">
        <v>2543</v>
      </c>
      <c r="AF53" s="3" t="s">
        <v>2544</v>
      </c>
      <c r="AG53" s="3" t="s">
        <v>1133</v>
      </c>
      <c r="AH53" s="3" t="s">
        <v>971</v>
      </c>
      <c r="AI53" s="4"/>
      <c r="AJ53" s="4"/>
      <c r="AK53" s="4"/>
      <c r="AL53" s="4"/>
      <c r="AM53" s="3" t="s">
        <v>2545</v>
      </c>
      <c r="AN53" s="3" t="s">
        <v>2546</v>
      </c>
      <c r="AO53" s="3" t="s">
        <v>2547</v>
      </c>
      <c r="AP53" s="3" t="s">
        <v>2548</v>
      </c>
      <c r="AQ53" s="3" t="s">
        <v>2549</v>
      </c>
      <c r="AR53" s="3" t="s">
        <v>2550</v>
      </c>
      <c r="AS53" s="3" t="s">
        <v>969</v>
      </c>
      <c r="AT53" s="3" t="s">
        <v>969</v>
      </c>
      <c r="AU53" s="3" t="s">
        <v>1409</v>
      </c>
      <c r="AV53" s="3" t="s">
        <v>2551</v>
      </c>
      <c r="AW53" s="4"/>
      <c r="AX53" s="3" t="s">
        <v>969</v>
      </c>
      <c r="AY53" s="27">
        <v>15.99</v>
      </c>
      <c r="AZ53" s="5" t="s">
        <v>24</v>
      </c>
      <c r="BA53" s="5" t="s">
        <v>22</v>
      </c>
    </row>
    <row r="54" ht="15.75" customHeight="1">
      <c r="A54" s="45">
        <v>53.0</v>
      </c>
      <c r="B54" s="46">
        <v>60.0</v>
      </c>
      <c r="C54" s="5" t="s">
        <v>24</v>
      </c>
      <c r="D54" s="3" t="s">
        <v>953</v>
      </c>
      <c r="E54" s="25">
        <v>46195.14305555556</v>
      </c>
      <c r="F54" s="3" t="s">
        <v>97</v>
      </c>
      <c r="G54" s="3" t="s">
        <v>2552</v>
      </c>
      <c r="H54" s="3" t="s">
        <v>579</v>
      </c>
      <c r="I54" s="3" t="s">
        <v>2553</v>
      </c>
      <c r="J54" s="3" t="s">
        <v>2554</v>
      </c>
      <c r="K54" s="3" t="s">
        <v>1789</v>
      </c>
      <c r="L54" s="3" t="s">
        <v>2555</v>
      </c>
      <c r="M54" s="26">
        <v>34760.0</v>
      </c>
      <c r="N54" s="3" t="s">
        <v>2556</v>
      </c>
      <c r="O54" s="3" t="s">
        <v>2557</v>
      </c>
      <c r="P54" s="3" t="s">
        <v>2558</v>
      </c>
      <c r="Q54" s="4"/>
      <c r="R54" s="4"/>
      <c r="S54" s="3" t="s">
        <v>2559</v>
      </c>
      <c r="T54" s="3" t="s">
        <v>2560</v>
      </c>
      <c r="U54" s="3" t="s">
        <v>1124</v>
      </c>
      <c r="V54" s="3" t="s">
        <v>2561</v>
      </c>
      <c r="W54" s="3" t="s">
        <v>2562</v>
      </c>
      <c r="X54" s="3" t="s">
        <v>2563</v>
      </c>
      <c r="Y54" s="3" t="s">
        <v>971</v>
      </c>
      <c r="Z54" s="3" t="s">
        <v>1801</v>
      </c>
      <c r="AA54" s="3" t="s">
        <v>971</v>
      </c>
      <c r="AB54" s="4"/>
      <c r="AC54" s="3" t="s">
        <v>969</v>
      </c>
      <c r="AD54" s="3" t="s">
        <v>971</v>
      </c>
      <c r="AE54" s="3" t="s">
        <v>2564</v>
      </c>
      <c r="AF54" s="3" t="s">
        <v>1684</v>
      </c>
      <c r="AG54" s="3" t="s">
        <v>1684</v>
      </c>
      <c r="AH54" s="3" t="s">
        <v>969</v>
      </c>
      <c r="AI54" s="3" t="s">
        <v>2565</v>
      </c>
      <c r="AJ54" s="3" t="s">
        <v>2566</v>
      </c>
      <c r="AK54" s="3" t="s">
        <v>1684</v>
      </c>
      <c r="AL54" s="3" t="s">
        <v>2567</v>
      </c>
      <c r="AM54" s="3" t="s">
        <v>2568</v>
      </c>
      <c r="AN54" s="3" t="s">
        <v>2569</v>
      </c>
      <c r="AO54" s="3" t="s">
        <v>2570</v>
      </c>
      <c r="AP54" s="3" t="s">
        <v>2571</v>
      </c>
      <c r="AQ54" s="3" t="s">
        <v>2572</v>
      </c>
      <c r="AR54" s="3" t="s">
        <v>2573</v>
      </c>
      <c r="AS54" s="3" t="s">
        <v>971</v>
      </c>
      <c r="AT54" s="3" t="s">
        <v>969</v>
      </c>
      <c r="AU54" s="3" t="s">
        <v>981</v>
      </c>
      <c r="AV54" s="3" t="s">
        <v>2574</v>
      </c>
      <c r="AW54" s="3" t="s">
        <v>2575</v>
      </c>
      <c r="AX54" s="3" t="s">
        <v>969</v>
      </c>
      <c r="AY54" s="27">
        <v>15.99</v>
      </c>
      <c r="AZ54" s="5" t="s">
        <v>24</v>
      </c>
      <c r="BA54" s="5" t="s">
        <v>22</v>
      </c>
    </row>
    <row r="55" ht="15.75" customHeight="1">
      <c r="A55" s="47">
        <v>54.0</v>
      </c>
      <c r="B55" s="46">
        <v>58.0</v>
      </c>
      <c r="C55" s="5" t="s">
        <v>24</v>
      </c>
      <c r="D55" s="3" t="s">
        <v>953</v>
      </c>
      <c r="E55" s="25">
        <v>46194.97152777778</v>
      </c>
      <c r="F55" s="3" t="s">
        <v>2576</v>
      </c>
      <c r="G55" s="3" t="s">
        <v>2577</v>
      </c>
      <c r="H55" s="3" t="s">
        <v>481</v>
      </c>
      <c r="I55" s="3" t="s">
        <v>481</v>
      </c>
      <c r="J55" s="3" t="s">
        <v>2578</v>
      </c>
      <c r="K55" s="3" t="s">
        <v>2579</v>
      </c>
      <c r="L55" s="3" t="s">
        <v>2580</v>
      </c>
      <c r="M55" s="26">
        <v>35376.0</v>
      </c>
      <c r="N55" s="3" t="s">
        <v>2581</v>
      </c>
      <c r="O55" s="3" t="s">
        <v>2580</v>
      </c>
      <c r="P55" s="4"/>
      <c r="Q55" s="4"/>
      <c r="R55" s="4"/>
      <c r="S55" s="3" t="s">
        <v>2582</v>
      </c>
      <c r="T55" s="3" t="s">
        <v>2583</v>
      </c>
      <c r="U55" s="3" t="s">
        <v>1370</v>
      </c>
      <c r="V55" s="3" t="s">
        <v>2584</v>
      </c>
      <c r="W55" s="3" t="s">
        <v>2585</v>
      </c>
      <c r="X55" s="3" t="s">
        <v>2586</v>
      </c>
      <c r="Y55" s="3" t="s">
        <v>971</v>
      </c>
      <c r="Z55" s="3" t="s">
        <v>2587</v>
      </c>
      <c r="AA55" s="3" t="s">
        <v>971</v>
      </c>
      <c r="AB55" s="4"/>
      <c r="AC55" s="4"/>
      <c r="AD55" s="3" t="s">
        <v>2588</v>
      </c>
      <c r="AE55" s="3" t="s">
        <v>2589</v>
      </c>
      <c r="AF55" s="3" t="s">
        <v>1250</v>
      </c>
      <c r="AG55" s="3" t="s">
        <v>2590</v>
      </c>
      <c r="AH55" s="3" t="s">
        <v>971</v>
      </c>
      <c r="AI55" s="4"/>
      <c r="AJ55" s="3" t="s">
        <v>969</v>
      </c>
      <c r="AK55" s="3" t="s">
        <v>2591</v>
      </c>
      <c r="AL55" s="3" t="s">
        <v>2592</v>
      </c>
      <c r="AM55" s="3" t="s">
        <v>2593</v>
      </c>
      <c r="AN55" s="3" t="s">
        <v>2594</v>
      </c>
      <c r="AO55" s="3" t="s">
        <v>2595</v>
      </c>
      <c r="AP55" s="3" t="s">
        <v>2596</v>
      </c>
      <c r="AQ55" s="3" t="s">
        <v>2597</v>
      </c>
      <c r="AR55" s="3" t="s">
        <v>2598</v>
      </c>
      <c r="AS55" s="3" t="s">
        <v>969</v>
      </c>
      <c r="AT55" s="3" t="s">
        <v>969</v>
      </c>
      <c r="AU55" s="3" t="s">
        <v>1409</v>
      </c>
      <c r="AV55" s="3" t="s">
        <v>2599</v>
      </c>
      <c r="AW55" s="3" t="s">
        <v>2600</v>
      </c>
      <c r="AX55" s="3" t="s">
        <v>969</v>
      </c>
      <c r="AY55" s="27">
        <v>15.99</v>
      </c>
      <c r="AZ55" s="5" t="s">
        <v>24</v>
      </c>
      <c r="BA55" s="5" t="s">
        <v>22</v>
      </c>
    </row>
    <row r="56" ht="15.75" customHeight="1">
      <c r="A56" s="45">
        <v>55.0</v>
      </c>
      <c r="B56" s="46">
        <v>57.0</v>
      </c>
      <c r="C56" s="5" t="s">
        <v>24</v>
      </c>
      <c r="D56" s="3" t="s">
        <v>953</v>
      </c>
      <c r="E56" s="25">
        <v>46194.63680555556</v>
      </c>
      <c r="F56" s="3" t="s">
        <v>89</v>
      </c>
      <c r="G56" s="3" t="s">
        <v>89</v>
      </c>
      <c r="H56" s="3" t="s">
        <v>555</v>
      </c>
      <c r="I56" s="3" t="s">
        <v>2601</v>
      </c>
      <c r="J56" s="3" t="s">
        <v>2602</v>
      </c>
      <c r="K56" s="3" t="s">
        <v>189</v>
      </c>
      <c r="L56" s="3" t="s">
        <v>2603</v>
      </c>
      <c r="M56" s="26">
        <v>31780.0</v>
      </c>
      <c r="N56" s="3" t="s">
        <v>2604</v>
      </c>
      <c r="O56" s="3" t="s">
        <v>2605</v>
      </c>
      <c r="P56" s="4"/>
      <c r="Q56" s="4"/>
      <c r="R56" s="4"/>
      <c r="S56" s="3" t="s">
        <v>2606</v>
      </c>
      <c r="T56" s="3" t="s">
        <v>2607</v>
      </c>
      <c r="U56" s="3" t="s">
        <v>2608</v>
      </c>
      <c r="V56" s="3" t="s">
        <v>2609</v>
      </c>
      <c r="W56" s="3" t="s">
        <v>2610</v>
      </c>
      <c r="X56" s="3" t="s">
        <v>2611</v>
      </c>
      <c r="Y56" s="3" t="s">
        <v>971</v>
      </c>
      <c r="Z56" s="3" t="s">
        <v>1128</v>
      </c>
      <c r="AA56" s="3" t="s">
        <v>971</v>
      </c>
      <c r="AB56" s="4"/>
      <c r="AC56" s="4"/>
      <c r="AD56" s="3" t="s">
        <v>2612</v>
      </c>
      <c r="AE56" s="4"/>
      <c r="AF56" s="4"/>
      <c r="AG56" s="4"/>
      <c r="AH56" s="3" t="s">
        <v>969</v>
      </c>
      <c r="AI56" s="3" t="s">
        <v>2613</v>
      </c>
      <c r="AJ56" s="4"/>
      <c r="AK56" s="4"/>
      <c r="AL56" s="4"/>
      <c r="AM56" s="3" t="s">
        <v>2614</v>
      </c>
      <c r="AN56" s="3" t="s">
        <v>2615</v>
      </c>
      <c r="AO56" s="3" t="s">
        <v>2616</v>
      </c>
      <c r="AP56" s="3" t="s">
        <v>2617</v>
      </c>
      <c r="AQ56" s="3" t="s">
        <v>2618</v>
      </c>
      <c r="AR56" s="3" t="s">
        <v>2619</v>
      </c>
      <c r="AS56" s="3" t="s">
        <v>969</v>
      </c>
      <c r="AT56" s="3" t="s">
        <v>969</v>
      </c>
      <c r="AU56" s="3" t="s">
        <v>1039</v>
      </c>
      <c r="AV56" s="3" t="s">
        <v>1261</v>
      </c>
      <c r="AW56" s="3" t="s">
        <v>2620</v>
      </c>
      <c r="AX56" s="3" t="s">
        <v>969</v>
      </c>
      <c r="AY56" s="27">
        <v>15.99</v>
      </c>
      <c r="AZ56" s="5" t="s">
        <v>24</v>
      </c>
      <c r="BA56" s="5" t="s">
        <v>22</v>
      </c>
    </row>
    <row r="57" ht="15.75" customHeight="1">
      <c r="A57" s="45">
        <v>56.0</v>
      </c>
      <c r="B57" s="46">
        <v>55.0</v>
      </c>
      <c r="C57" s="5" t="s">
        <v>24</v>
      </c>
      <c r="D57" s="3" t="s">
        <v>953</v>
      </c>
      <c r="E57" s="25">
        <v>46192.9125</v>
      </c>
      <c r="F57" s="3" t="s">
        <v>83</v>
      </c>
      <c r="G57" s="3" t="s">
        <v>83</v>
      </c>
      <c r="H57" s="3" t="s">
        <v>687</v>
      </c>
      <c r="I57" s="3" t="s">
        <v>2621</v>
      </c>
      <c r="J57" s="3" t="s">
        <v>2622</v>
      </c>
      <c r="K57" s="3" t="s">
        <v>1026</v>
      </c>
      <c r="L57" s="3" t="s">
        <v>2623</v>
      </c>
      <c r="M57" s="26">
        <v>32811.0</v>
      </c>
      <c r="N57" s="3" t="s">
        <v>2624</v>
      </c>
      <c r="O57" s="3" t="s">
        <v>2625</v>
      </c>
      <c r="P57" s="3" t="s">
        <v>2626</v>
      </c>
      <c r="Q57" s="3" t="s">
        <v>2627</v>
      </c>
      <c r="R57" s="3" t="s">
        <v>2628</v>
      </c>
      <c r="S57" s="3" t="s">
        <v>2629</v>
      </c>
      <c r="T57" s="3" t="s">
        <v>2630</v>
      </c>
      <c r="U57" s="3" t="s">
        <v>2631</v>
      </c>
      <c r="V57" s="3" t="s">
        <v>2632</v>
      </c>
      <c r="W57" s="4"/>
      <c r="X57" s="3" t="s">
        <v>2633</v>
      </c>
      <c r="Y57" s="3" t="s">
        <v>971</v>
      </c>
      <c r="Z57" s="3" t="s">
        <v>1026</v>
      </c>
      <c r="AA57" s="3" t="s">
        <v>971</v>
      </c>
      <c r="AB57" s="4"/>
      <c r="AC57" s="4"/>
      <c r="AD57" s="3" t="s">
        <v>2634</v>
      </c>
      <c r="AE57" s="4"/>
      <c r="AF57" s="4"/>
      <c r="AG57" s="4"/>
      <c r="AH57" s="3" t="s">
        <v>971</v>
      </c>
      <c r="AI57" s="3" t="s">
        <v>2635</v>
      </c>
      <c r="AJ57" s="3" t="s">
        <v>971</v>
      </c>
      <c r="AK57" s="4"/>
      <c r="AL57" s="3" t="s">
        <v>2636</v>
      </c>
      <c r="AM57" s="3" t="s">
        <v>2637</v>
      </c>
      <c r="AN57" s="3" t="s">
        <v>2638</v>
      </c>
      <c r="AO57" s="3" t="s">
        <v>2639</v>
      </c>
      <c r="AP57" s="3" t="s">
        <v>2640</v>
      </c>
      <c r="AQ57" s="3" t="s">
        <v>2641</v>
      </c>
      <c r="AR57" s="3" t="s">
        <v>2642</v>
      </c>
      <c r="AS57" s="3" t="s">
        <v>971</v>
      </c>
      <c r="AT57" s="3" t="s">
        <v>971</v>
      </c>
      <c r="AU57" s="3" t="s">
        <v>1039</v>
      </c>
      <c r="AV57" s="3" t="s">
        <v>1498</v>
      </c>
      <c r="AW57" s="3" t="s">
        <v>2643</v>
      </c>
      <c r="AX57" s="3" t="s">
        <v>969</v>
      </c>
      <c r="AY57" s="27">
        <v>15.99</v>
      </c>
      <c r="AZ57" s="5" t="s">
        <v>24</v>
      </c>
      <c r="BA57" s="5" t="s">
        <v>22</v>
      </c>
    </row>
    <row r="58" ht="15.75" customHeight="1">
      <c r="A58" s="47">
        <v>57.0</v>
      </c>
      <c r="B58" s="46">
        <v>53.0</v>
      </c>
      <c r="C58" s="5" t="s">
        <v>24</v>
      </c>
      <c r="D58" s="3" t="s">
        <v>953</v>
      </c>
      <c r="E58" s="25">
        <v>46192.40069444444</v>
      </c>
      <c r="F58" s="3" t="s">
        <v>2644</v>
      </c>
      <c r="G58" s="3" t="s">
        <v>2645</v>
      </c>
      <c r="H58" s="3" t="s">
        <v>79</v>
      </c>
      <c r="I58" s="3" t="s">
        <v>2646</v>
      </c>
      <c r="J58" s="3" t="s">
        <v>2647</v>
      </c>
      <c r="K58" s="3" t="s">
        <v>2648</v>
      </c>
      <c r="L58" s="3" t="s">
        <v>2649</v>
      </c>
      <c r="M58" s="26">
        <v>37965.0</v>
      </c>
      <c r="N58" s="3" t="s">
        <v>2650</v>
      </c>
      <c r="O58" s="3" t="s">
        <v>2651</v>
      </c>
      <c r="P58" s="3" t="s">
        <v>2652</v>
      </c>
      <c r="Q58" s="4"/>
      <c r="R58" s="4"/>
      <c r="S58" s="3" t="s">
        <v>2653</v>
      </c>
      <c r="T58" s="3" t="s">
        <v>2654</v>
      </c>
      <c r="U58" s="3" t="s">
        <v>2655</v>
      </c>
      <c r="V58" s="3" t="s">
        <v>2656</v>
      </c>
      <c r="W58" s="4"/>
      <c r="X58" s="3" t="s">
        <v>2657</v>
      </c>
      <c r="Y58" s="3" t="s">
        <v>971</v>
      </c>
      <c r="Z58" s="3" t="s">
        <v>2658</v>
      </c>
      <c r="AA58" s="3" t="s">
        <v>971</v>
      </c>
      <c r="AB58" s="4"/>
      <c r="AC58" s="3" t="s">
        <v>6</v>
      </c>
      <c r="AD58" s="3" t="s">
        <v>6</v>
      </c>
      <c r="AE58" s="3" t="s">
        <v>2659</v>
      </c>
      <c r="AF58" s="3" t="s">
        <v>1250</v>
      </c>
      <c r="AG58" s="3" t="s">
        <v>1133</v>
      </c>
      <c r="AH58" s="3" t="s">
        <v>971</v>
      </c>
      <c r="AI58" s="4"/>
      <c r="AJ58" s="3" t="s">
        <v>6</v>
      </c>
      <c r="AK58" s="3" t="s">
        <v>2660</v>
      </c>
      <c r="AL58" s="3" t="s">
        <v>2661</v>
      </c>
      <c r="AM58" s="3" t="s">
        <v>2662</v>
      </c>
      <c r="AN58" s="3" t="s">
        <v>2663</v>
      </c>
      <c r="AO58" s="3" t="s">
        <v>2664</v>
      </c>
      <c r="AP58" s="3" t="s">
        <v>2665</v>
      </c>
      <c r="AQ58" s="3" t="s">
        <v>2666</v>
      </c>
      <c r="AR58" s="3" t="s">
        <v>2667</v>
      </c>
      <c r="AS58" s="3" t="s">
        <v>969</v>
      </c>
      <c r="AT58" s="3" t="s">
        <v>969</v>
      </c>
      <c r="AU58" s="3" t="s">
        <v>1039</v>
      </c>
      <c r="AV58" s="3" t="s">
        <v>2668</v>
      </c>
      <c r="AW58" s="4"/>
      <c r="AX58" s="3" t="s">
        <v>969</v>
      </c>
      <c r="AY58" s="27">
        <v>15.99</v>
      </c>
      <c r="AZ58" s="5" t="s">
        <v>24</v>
      </c>
      <c r="BA58" s="5" t="s">
        <v>43</v>
      </c>
    </row>
    <row r="59" ht="15.75" customHeight="1">
      <c r="A59" s="45">
        <v>58.0</v>
      </c>
      <c r="B59" s="46">
        <v>52.0</v>
      </c>
      <c r="C59" s="5" t="s">
        <v>24</v>
      </c>
      <c r="D59" s="3" t="s">
        <v>953</v>
      </c>
      <c r="E59" s="25">
        <v>46192.01388888889</v>
      </c>
      <c r="F59" s="3" t="s">
        <v>77</v>
      </c>
      <c r="G59" s="3" t="s">
        <v>2669</v>
      </c>
      <c r="H59" s="3" t="s">
        <v>667</v>
      </c>
      <c r="I59" s="3" t="s">
        <v>2670</v>
      </c>
      <c r="J59" s="3" t="s">
        <v>2671</v>
      </c>
      <c r="K59" s="3" t="s">
        <v>2672</v>
      </c>
      <c r="L59" s="3" t="s">
        <v>2673</v>
      </c>
      <c r="M59" s="26">
        <v>38453.0</v>
      </c>
      <c r="N59" s="3" t="s">
        <v>2674</v>
      </c>
      <c r="O59" s="3" t="s">
        <v>2675</v>
      </c>
      <c r="P59" s="3" t="s">
        <v>2676</v>
      </c>
      <c r="Q59" s="3" t="s">
        <v>2677</v>
      </c>
      <c r="R59" s="3" t="s">
        <v>2678</v>
      </c>
      <c r="S59" s="3" t="s">
        <v>2516</v>
      </c>
      <c r="T59" s="3" t="s">
        <v>2679</v>
      </c>
      <c r="U59" s="3" t="s">
        <v>1738</v>
      </c>
      <c r="V59" s="3" t="s">
        <v>2680</v>
      </c>
      <c r="W59" s="3" t="s">
        <v>2681</v>
      </c>
      <c r="X59" s="3" t="s">
        <v>2682</v>
      </c>
      <c r="Y59" s="3" t="s">
        <v>969</v>
      </c>
      <c r="Z59" s="3" t="s">
        <v>2683</v>
      </c>
      <c r="AA59" s="3" t="s">
        <v>971</v>
      </c>
      <c r="AB59" s="4"/>
      <c r="AC59" s="3" t="s">
        <v>2684</v>
      </c>
      <c r="AD59" s="3" t="s">
        <v>2685</v>
      </c>
      <c r="AE59" s="3" t="s">
        <v>2686</v>
      </c>
      <c r="AF59" s="3" t="s">
        <v>2687</v>
      </c>
      <c r="AG59" s="3" t="s">
        <v>2688</v>
      </c>
      <c r="AH59" s="3" t="s">
        <v>969</v>
      </c>
      <c r="AI59" s="4"/>
      <c r="AJ59" s="3" t="s">
        <v>966</v>
      </c>
      <c r="AK59" s="4"/>
      <c r="AL59" s="3" t="s">
        <v>2689</v>
      </c>
      <c r="AM59" s="3" t="s">
        <v>2690</v>
      </c>
      <c r="AN59" s="3" t="s">
        <v>2691</v>
      </c>
      <c r="AO59" s="3" t="s">
        <v>2692</v>
      </c>
      <c r="AP59" s="3" t="s">
        <v>2693</v>
      </c>
      <c r="AQ59" s="3" t="s">
        <v>2694</v>
      </c>
      <c r="AR59" s="3" t="s">
        <v>2695</v>
      </c>
      <c r="AS59" s="3" t="s">
        <v>969</v>
      </c>
      <c r="AT59" s="3" t="s">
        <v>969</v>
      </c>
      <c r="AU59" s="3" t="s">
        <v>1039</v>
      </c>
      <c r="AV59" s="3" t="s">
        <v>2696</v>
      </c>
      <c r="AW59" s="3" t="s">
        <v>2697</v>
      </c>
      <c r="AX59" s="3" t="s">
        <v>969</v>
      </c>
      <c r="AY59" s="27">
        <v>15.99</v>
      </c>
      <c r="AZ59" s="5" t="s">
        <v>24</v>
      </c>
      <c r="BA59" s="5" t="s">
        <v>22</v>
      </c>
    </row>
    <row r="60" ht="15.75" customHeight="1">
      <c r="A60" s="45">
        <v>59.0</v>
      </c>
      <c r="B60" s="46">
        <v>49.0</v>
      </c>
      <c r="C60" s="5" t="s">
        <v>69</v>
      </c>
      <c r="D60" s="3" t="s">
        <v>953</v>
      </c>
      <c r="E60" s="25">
        <v>46191.83958333333</v>
      </c>
      <c r="F60" s="3" t="s">
        <v>70</v>
      </c>
      <c r="G60" s="3" t="s">
        <v>70</v>
      </c>
      <c r="H60" s="3" t="s">
        <v>71</v>
      </c>
      <c r="I60" s="3" t="s">
        <v>71</v>
      </c>
      <c r="J60" s="3" t="s">
        <v>2698</v>
      </c>
      <c r="K60" s="3" t="s">
        <v>2179</v>
      </c>
      <c r="L60" s="3" t="s">
        <v>2699</v>
      </c>
      <c r="M60" s="26">
        <v>33145.0</v>
      </c>
      <c r="N60" s="3" t="s">
        <v>2700</v>
      </c>
      <c r="O60" s="3" t="s">
        <v>2699</v>
      </c>
      <c r="P60" s="3" t="s">
        <v>2701</v>
      </c>
      <c r="Q60" s="3" t="s">
        <v>2702</v>
      </c>
      <c r="R60" s="4"/>
      <c r="S60" s="3" t="s">
        <v>2703</v>
      </c>
      <c r="T60" s="3" t="s">
        <v>2704</v>
      </c>
      <c r="U60" s="3" t="s">
        <v>1370</v>
      </c>
      <c r="V60" s="3" t="s">
        <v>2705</v>
      </c>
      <c r="W60" s="3" t="s">
        <v>2706</v>
      </c>
      <c r="X60" s="3" t="s">
        <v>2707</v>
      </c>
      <c r="Y60" s="3" t="s">
        <v>969</v>
      </c>
      <c r="Z60" s="4"/>
      <c r="AA60" s="3" t="s">
        <v>971</v>
      </c>
      <c r="AB60" s="4"/>
      <c r="AC60" s="4"/>
      <c r="AD60" s="3" t="s">
        <v>2708</v>
      </c>
      <c r="AE60" s="3" t="s">
        <v>2709</v>
      </c>
      <c r="AF60" s="3" t="s">
        <v>2710</v>
      </c>
      <c r="AG60" s="3" t="s">
        <v>2711</v>
      </c>
      <c r="AH60" s="3" t="s">
        <v>969</v>
      </c>
      <c r="AI60" s="3" t="s">
        <v>2712</v>
      </c>
      <c r="AJ60" s="4"/>
      <c r="AK60" s="4"/>
      <c r="AL60" s="3" t="s">
        <v>2713</v>
      </c>
      <c r="AM60" s="3" t="s">
        <v>2714</v>
      </c>
      <c r="AN60" s="3" t="s">
        <v>2715</v>
      </c>
      <c r="AO60" s="3" t="s">
        <v>2716</v>
      </c>
      <c r="AP60" s="3" t="s">
        <v>2717</v>
      </c>
      <c r="AQ60" s="3" t="s">
        <v>2718</v>
      </c>
      <c r="AR60" s="3" t="s">
        <v>2719</v>
      </c>
      <c r="AS60" s="3" t="s">
        <v>969</v>
      </c>
      <c r="AT60" s="3" t="s">
        <v>969</v>
      </c>
      <c r="AU60" s="3" t="s">
        <v>1260</v>
      </c>
      <c r="AV60" s="3" t="s">
        <v>2720</v>
      </c>
      <c r="AW60" s="3" t="s">
        <v>2721</v>
      </c>
      <c r="AX60" s="3" t="s">
        <v>969</v>
      </c>
      <c r="AY60" s="27">
        <v>15.99</v>
      </c>
      <c r="AZ60" s="5" t="s">
        <v>69</v>
      </c>
      <c r="BA60" s="5" t="s">
        <v>7</v>
      </c>
    </row>
    <row r="61" ht="15.75" customHeight="1">
      <c r="A61" s="47">
        <v>60.0</v>
      </c>
      <c r="B61" s="46">
        <v>46.0</v>
      </c>
      <c r="C61" s="5" t="s">
        <v>24</v>
      </c>
      <c r="D61" s="3" t="s">
        <v>953</v>
      </c>
      <c r="E61" s="25">
        <v>46190.0125</v>
      </c>
      <c r="F61" s="3" t="s">
        <v>67</v>
      </c>
      <c r="G61" s="3" t="s">
        <v>67</v>
      </c>
      <c r="H61" s="3" t="s">
        <v>806</v>
      </c>
      <c r="I61" s="3" t="s">
        <v>2722</v>
      </c>
      <c r="J61" s="3" t="s">
        <v>2723</v>
      </c>
      <c r="K61" s="3" t="s">
        <v>2724</v>
      </c>
      <c r="L61" s="3" t="s">
        <v>2725</v>
      </c>
      <c r="M61" s="26">
        <v>37969.0</v>
      </c>
      <c r="N61" s="3" t="s">
        <v>2726</v>
      </c>
      <c r="O61" s="3" t="s">
        <v>2727</v>
      </c>
      <c r="P61" s="4"/>
      <c r="Q61" s="4"/>
      <c r="R61" s="3" t="s">
        <v>2728</v>
      </c>
      <c r="S61" s="3" t="s">
        <v>2729</v>
      </c>
      <c r="T61" s="3" t="s">
        <v>2328</v>
      </c>
      <c r="U61" s="3" t="s">
        <v>2730</v>
      </c>
      <c r="V61" s="3" t="s">
        <v>2730</v>
      </c>
      <c r="W61" s="3" t="s">
        <v>2731</v>
      </c>
      <c r="X61" s="3" t="s">
        <v>2732</v>
      </c>
      <c r="Y61" s="3" t="s">
        <v>971</v>
      </c>
      <c r="Z61" s="4"/>
      <c r="AA61" s="3" t="s">
        <v>971</v>
      </c>
      <c r="AB61" s="4"/>
      <c r="AC61" s="4"/>
      <c r="AD61" s="3" t="s">
        <v>2733</v>
      </c>
      <c r="AE61" s="4"/>
      <c r="AF61" s="4"/>
      <c r="AG61" s="4"/>
      <c r="AH61" s="3" t="s">
        <v>971</v>
      </c>
      <c r="AI61" s="4"/>
      <c r="AJ61" s="4"/>
      <c r="AK61" s="4"/>
      <c r="AL61" s="4"/>
      <c r="AM61" s="3" t="s">
        <v>2734</v>
      </c>
      <c r="AN61" s="3" t="s">
        <v>2735</v>
      </c>
      <c r="AO61" s="3" t="s">
        <v>2736</v>
      </c>
      <c r="AP61" s="3" t="s">
        <v>2737</v>
      </c>
      <c r="AQ61" s="3" t="s">
        <v>2738</v>
      </c>
      <c r="AR61" s="3" t="s">
        <v>2739</v>
      </c>
      <c r="AS61" s="3" t="s">
        <v>969</v>
      </c>
      <c r="AT61" s="3" t="s">
        <v>969</v>
      </c>
      <c r="AU61" s="3" t="s">
        <v>1039</v>
      </c>
      <c r="AV61" s="3" t="s">
        <v>2740</v>
      </c>
      <c r="AW61" s="4"/>
      <c r="AX61" s="3" t="s">
        <v>969</v>
      </c>
      <c r="AY61" s="27">
        <v>15.99</v>
      </c>
      <c r="AZ61" s="5" t="s">
        <v>24</v>
      </c>
      <c r="BA61" s="5" t="s">
        <v>22</v>
      </c>
    </row>
    <row r="62" ht="15.75" customHeight="1">
      <c r="A62" s="45">
        <v>61.0</v>
      </c>
      <c r="B62" s="46">
        <v>34.0</v>
      </c>
      <c r="C62" s="5" t="s">
        <v>24</v>
      </c>
      <c r="D62" s="3" t="s">
        <v>953</v>
      </c>
      <c r="E62" s="25">
        <v>46186.96527777778</v>
      </c>
      <c r="F62" s="3" t="s">
        <v>2741</v>
      </c>
      <c r="G62" s="3" t="s">
        <v>51</v>
      </c>
      <c r="H62" s="3" t="s">
        <v>52</v>
      </c>
      <c r="I62" s="3" t="s">
        <v>2742</v>
      </c>
      <c r="J62" s="3" t="s">
        <v>2743</v>
      </c>
      <c r="K62" s="3" t="s">
        <v>2744</v>
      </c>
      <c r="L62" s="3" t="s">
        <v>2745</v>
      </c>
      <c r="M62" s="26">
        <v>35413.0</v>
      </c>
      <c r="N62" s="3" t="s">
        <v>2746</v>
      </c>
      <c r="O62" s="3" t="s">
        <v>2745</v>
      </c>
      <c r="P62" s="3" t="s">
        <v>2747</v>
      </c>
      <c r="Q62" s="3" t="s">
        <v>2748</v>
      </c>
      <c r="R62" s="4"/>
      <c r="S62" s="3" t="s">
        <v>2606</v>
      </c>
      <c r="T62" s="3" t="s">
        <v>2749</v>
      </c>
      <c r="U62" s="3" t="s">
        <v>2750</v>
      </c>
      <c r="V62" s="3" t="s">
        <v>1125</v>
      </c>
      <c r="W62" s="3" t="s">
        <v>2751</v>
      </c>
      <c r="X62" s="3" t="s">
        <v>2752</v>
      </c>
      <c r="Y62" s="3" t="s">
        <v>969</v>
      </c>
      <c r="Z62" s="3" t="s">
        <v>2753</v>
      </c>
      <c r="AA62" s="3" t="s">
        <v>969</v>
      </c>
      <c r="AB62" s="3" t="s">
        <v>2754</v>
      </c>
      <c r="AC62" s="3" t="s">
        <v>2755</v>
      </c>
      <c r="AD62" s="3" t="s">
        <v>2756</v>
      </c>
      <c r="AE62" s="3" t="s">
        <v>2757</v>
      </c>
      <c r="AF62" s="3" t="s">
        <v>2758</v>
      </c>
      <c r="AG62" s="3" t="s">
        <v>1878</v>
      </c>
      <c r="AH62" s="3" t="s">
        <v>969</v>
      </c>
      <c r="AI62" s="3" t="s">
        <v>2759</v>
      </c>
      <c r="AJ62" s="3" t="s">
        <v>2755</v>
      </c>
      <c r="AK62" s="4"/>
      <c r="AL62" s="3" t="s">
        <v>2760</v>
      </c>
      <c r="AM62" s="3" t="s">
        <v>2761</v>
      </c>
      <c r="AN62" s="3" t="s">
        <v>2762</v>
      </c>
      <c r="AO62" s="3" t="s">
        <v>2763</v>
      </c>
      <c r="AP62" s="3" t="s">
        <v>2764</v>
      </c>
      <c r="AQ62" s="3" t="s">
        <v>2765</v>
      </c>
      <c r="AR62" s="3" t="s">
        <v>2766</v>
      </c>
      <c r="AS62" s="3" t="s">
        <v>969</v>
      </c>
      <c r="AT62" s="3" t="s">
        <v>969</v>
      </c>
      <c r="AU62" s="3" t="s">
        <v>1039</v>
      </c>
      <c r="AV62" s="3" t="s">
        <v>916</v>
      </c>
      <c r="AW62" s="3" t="s">
        <v>1039</v>
      </c>
      <c r="AX62" s="3" t="s">
        <v>969</v>
      </c>
      <c r="AY62" s="27">
        <v>15.99</v>
      </c>
      <c r="AZ62" s="5" t="s">
        <v>24</v>
      </c>
      <c r="BA62" s="5" t="s">
        <v>7</v>
      </c>
    </row>
    <row r="63" ht="15.75" customHeight="1">
      <c r="A63" s="45">
        <v>62.0</v>
      </c>
      <c r="B63" s="46">
        <v>33.0</v>
      </c>
      <c r="C63" s="5" t="s">
        <v>24</v>
      </c>
      <c r="D63" s="3" t="s">
        <v>953</v>
      </c>
      <c r="E63" s="25">
        <v>46186.87847222222</v>
      </c>
      <c r="F63" s="3" t="s">
        <v>2767</v>
      </c>
      <c r="G63" s="3" t="s">
        <v>2767</v>
      </c>
      <c r="H63" s="3" t="s">
        <v>763</v>
      </c>
      <c r="I63" s="3" t="s">
        <v>763</v>
      </c>
      <c r="J63" s="3" t="s">
        <v>2768</v>
      </c>
      <c r="K63" s="3" t="s">
        <v>1042</v>
      </c>
      <c r="L63" s="3" t="s">
        <v>2769</v>
      </c>
      <c r="M63" s="26">
        <v>34549.0</v>
      </c>
      <c r="N63" s="3" t="s">
        <v>2770</v>
      </c>
      <c r="O63" s="3" t="s">
        <v>2771</v>
      </c>
      <c r="P63" s="4"/>
      <c r="Q63" s="4"/>
      <c r="R63" s="4"/>
      <c r="S63" s="3" t="s">
        <v>2772</v>
      </c>
      <c r="T63" s="3" t="s">
        <v>2773</v>
      </c>
      <c r="U63" s="3" t="s">
        <v>2774</v>
      </c>
      <c r="V63" s="3" t="s">
        <v>1185</v>
      </c>
      <c r="W63" s="4"/>
      <c r="X63" s="3" t="s">
        <v>2775</v>
      </c>
      <c r="Y63" s="3" t="s">
        <v>969</v>
      </c>
      <c r="Z63" s="3" t="s">
        <v>1054</v>
      </c>
      <c r="AA63" s="3" t="s">
        <v>971</v>
      </c>
      <c r="AB63" s="3" t="s">
        <v>2775</v>
      </c>
      <c r="AC63" s="3" t="s">
        <v>2776</v>
      </c>
      <c r="AD63" s="3" t="s">
        <v>2777</v>
      </c>
      <c r="AE63" s="3" t="s">
        <v>2778</v>
      </c>
      <c r="AF63" s="3" t="s">
        <v>2779</v>
      </c>
      <c r="AG63" s="3" t="s">
        <v>2780</v>
      </c>
      <c r="AH63" s="3" t="s">
        <v>969</v>
      </c>
      <c r="AI63" s="3" t="s">
        <v>2781</v>
      </c>
      <c r="AJ63" s="3" t="s">
        <v>2782</v>
      </c>
      <c r="AK63" s="3" t="s">
        <v>2783</v>
      </c>
      <c r="AL63" s="3" t="s">
        <v>2784</v>
      </c>
      <c r="AM63" s="3" t="s">
        <v>2785</v>
      </c>
      <c r="AN63" s="3" t="s">
        <v>2786</v>
      </c>
      <c r="AO63" s="3" t="s">
        <v>2787</v>
      </c>
      <c r="AP63" s="3" t="s">
        <v>2788</v>
      </c>
      <c r="AQ63" s="3" t="s">
        <v>2789</v>
      </c>
      <c r="AR63" s="3" t="s">
        <v>2790</v>
      </c>
      <c r="AS63" s="3" t="s">
        <v>969</v>
      </c>
      <c r="AT63" s="3" t="s">
        <v>969</v>
      </c>
      <c r="AU63" s="3" t="s">
        <v>981</v>
      </c>
      <c r="AV63" s="3" t="s">
        <v>1287</v>
      </c>
      <c r="AW63" s="4"/>
      <c r="AX63" s="3" t="s">
        <v>969</v>
      </c>
      <c r="AY63" s="27">
        <v>15.99</v>
      </c>
      <c r="AZ63" s="5" t="s">
        <v>24</v>
      </c>
      <c r="BA63" s="5" t="s">
        <v>22</v>
      </c>
    </row>
    <row r="64" ht="15.75" customHeight="1">
      <c r="A64" s="47">
        <v>63.0</v>
      </c>
      <c r="B64" s="46">
        <v>32.0</v>
      </c>
      <c r="C64" s="5" t="s">
        <v>24</v>
      </c>
      <c r="D64" s="3" t="s">
        <v>953</v>
      </c>
      <c r="E64" s="25">
        <v>46186.82708333333</v>
      </c>
      <c r="F64" s="3" t="s">
        <v>47</v>
      </c>
      <c r="G64" s="3" t="s">
        <v>47</v>
      </c>
      <c r="H64" s="3" t="s">
        <v>739</v>
      </c>
      <c r="I64" s="3" t="s">
        <v>2791</v>
      </c>
      <c r="J64" s="3" t="s">
        <v>2792</v>
      </c>
      <c r="K64" s="3" t="s">
        <v>1943</v>
      </c>
      <c r="L64" s="3" t="s">
        <v>2793</v>
      </c>
      <c r="M64" s="26">
        <v>36560.0</v>
      </c>
      <c r="N64" s="3" t="s">
        <v>2794</v>
      </c>
      <c r="O64" s="3" t="s">
        <v>2795</v>
      </c>
      <c r="P64" s="3" t="s">
        <v>2796</v>
      </c>
      <c r="Q64" s="4"/>
      <c r="R64" s="4"/>
      <c r="S64" s="3" t="s">
        <v>2797</v>
      </c>
      <c r="T64" s="3" t="s">
        <v>2798</v>
      </c>
      <c r="U64" s="3" t="s">
        <v>1370</v>
      </c>
      <c r="V64" s="3" t="s">
        <v>1896</v>
      </c>
      <c r="W64" s="3" t="s">
        <v>2799</v>
      </c>
      <c r="X64" s="3" t="s">
        <v>2800</v>
      </c>
      <c r="Y64" s="3" t="s">
        <v>971</v>
      </c>
      <c r="Z64" s="3" t="s">
        <v>1928</v>
      </c>
      <c r="AA64" s="3" t="s">
        <v>971</v>
      </c>
      <c r="AB64" s="4"/>
      <c r="AC64" s="4"/>
      <c r="AD64" s="3" t="s">
        <v>2801</v>
      </c>
      <c r="AE64" s="3" t="s">
        <v>2802</v>
      </c>
      <c r="AF64" s="3" t="s">
        <v>2803</v>
      </c>
      <c r="AG64" s="3" t="s">
        <v>2804</v>
      </c>
      <c r="AH64" s="3" t="s">
        <v>971</v>
      </c>
      <c r="AI64" s="4"/>
      <c r="AJ64" s="4"/>
      <c r="AK64" s="4"/>
      <c r="AL64" s="4"/>
      <c r="AM64" s="3" t="s">
        <v>2805</v>
      </c>
      <c r="AN64" s="3" t="s">
        <v>2806</v>
      </c>
      <c r="AO64" s="3" t="s">
        <v>2807</v>
      </c>
      <c r="AP64" s="3" t="s">
        <v>2808</v>
      </c>
      <c r="AQ64" s="3" t="s">
        <v>2809</v>
      </c>
      <c r="AR64" s="3" t="s">
        <v>2810</v>
      </c>
      <c r="AS64" s="3" t="s">
        <v>969</v>
      </c>
      <c r="AT64" s="3" t="s">
        <v>969</v>
      </c>
      <c r="AU64" s="3" t="s">
        <v>1039</v>
      </c>
      <c r="AV64" s="3" t="s">
        <v>2174</v>
      </c>
      <c r="AW64" s="3" t="s">
        <v>1596</v>
      </c>
      <c r="AX64" s="3" t="s">
        <v>969</v>
      </c>
      <c r="AY64" s="27">
        <v>15.99</v>
      </c>
      <c r="AZ64" s="5" t="s">
        <v>24</v>
      </c>
      <c r="BA64" s="5" t="s">
        <v>22</v>
      </c>
    </row>
    <row r="65" ht="15.75" customHeight="1">
      <c r="A65" s="45">
        <v>64.0</v>
      </c>
      <c r="B65" s="46">
        <v>25.0</v>
      </c>
      <c r="C65" s="5" t="s">
        <v>24</v>
      </c>
      <c r="D65" s="3" t="s">
        <v>953</v>
      </c>
      <c r="E65" s="25">
        <v>46181.89097222222</v>
      </c>
      <c r="F65" s="3" t="s">
        <v>37</v>
      </c>
      <c r="G65" s="3" t="s">
        <v>37</v>
      </c>
      <c r="H65" s="3" t="s">
        <v>710</v>
      </c>
      <c r="I65" s="3" t="s">
        <v>2811</v>
      </c>
      <c r="J65" s="3" t="s">
        <v>2812</v>
      </c>
      <c r="K65" s="3" t="s">
        <v>2813</v>
      </c>
      <c r="L65" s="3" t="s">
        <v>2814</v>
      </c>
      <c r="M65" s="26">
        <v>33197.0</v>
      </c>
      <c r="N65" s="3" t="s">
        <v>2815</v>
      </c>
      <c r="O65" s="3" t="s">
        <v>2816</v>
      </c>
      <c r="P65" s="3" t="s">
        <v>2817</v>
      </c>
      <c r="Q65" s="4"/>
      <c r="R65" s="3" t="s">
        <v>2818</v>
      </c>
      <c r="S65" s="3" t="s">
        <v>2819</v>
      </c>
      <c r="T65" s="3" t="s">
        <v>2820</v>
      </c>
      <c r="U65" s="3" t="s">
        <v>2821</v>
      </c>
      <c r="V65" s="3" t="s">
        <v>2822</v>
      </c>
      <c r="W65" s="3" t="s">
        <v>2822</v>
      </c>
      <c r="X65" s="3" t="s">
        <v>2823</v>
      </c>
      <c r="Y65" s="3" t="s">
        <v>971</v>
      </c>
      <c r="Z65" s="3" t="s">
        <v>2824</v>
      </c>
      <c r="AA65" s="3" t="s">
        <v>971</v>
      </c>
      <c r="AB65" s="4"/>
      <c r="AC65" s="3" t="s">
        <v>969</v>
      </c>
      <c r="AD65" s="3" t="s">
        <v>2825</v>
      </c>
      <c r="AE65" s="4"/>
      <c r="AF65" s="3" t="s">
        <v>2826</v>
      </c>
      <c r="AG65" s="3" t="s">
        <v>2827</v>
      </c>
      <c r="AH65" s="3" t="s">
        <v>969</v>
      </c>
      <c r="AI65" s="3" t="s">
        <v>2828</v>
      </c>
      <c r="AJ65" s="3" t="s">
        <v>971</v>
      </c>
      <c r="AK65" s="4"/>
      <c r="AL65" s="3" t="s">
        <v>2829</v>
      </c>
      <c r="AM65" s="3" t="s">
        <v>2830</v>
      </c>
      <c r="AN65" s="3" t="s">
        <v>2831</v>
      </c>
      <c r="AO65" s="3" t="s">
        <v>2832</v>
      </c>
      <c r="AP65" s="3" t="s">
        <v>2833</v>
      </c>
      <c r="AQ65" s="3" t="s">
        <v>2834</v>
      </c>
      <c r="AR65" s="3" t="s">
        <v>2835</v>
      </c>
      <c r="AS65" s="3" t="s">
        <v>969</v>
      </c>
      <c r="AT65" s="3" t="s">
        <v>969</v>
      </c>
      <c r="AU65" s="3" t="s">
        <v>1409</v>
      </c>
      <c r="AV65" s="3" t="s">
        <v>2836</v>
      </c>
      <c r="AW65" s="3" t="s">
        <v>2837</v>
      </c>
      <c r="AX65" s="3" t="s">
        <v>969</v>
      </c>
      <c r="AY65" s="27">
        <v>15.99</v>
      </c>
      <c r="AZ65" s="5" t="s">
        <v>24</v>
      </c>
      <c r="BA65" s="5" t="s">
        <v>22</v>
      </c>
    </row>
    <row r="66" ht="15.75" customHeight="1">
      <c r="A66" s="45">
        <v>65.0</v>
      </c>
      <c r="B66" s="46">
        <v>17.0</v>
      </c>
      <c r="C66" s="5" t="s">
        <v>24</v>
      </c>
      <c r="D66" s="3" t="s">
        <v>953</v>
      </c>
      <c r="E66" s="25">
        <v>46174.84861111111</v>
      </c>
      <c r="F66" s="3" t="s">
        <v>2838</v>
      </c>
      <c r="G66" s="3" t="s">
        <v>2839</v>
      </c>
      <c r="H66" s="3" t="s">
        <v>743</v>
      </c>
      <c r="I66" s="3" t="s">
        <v>2840</v>
      </c>
      <c r="J66" s="3" t="s">
        <v>2841</v>
      </c>
      <c r="K66" s="3" t="s">
        <v>1864</v>
      </c>
      <c r="L66" s="3" t="s">
        <v>2842</v>
      </c>
      <c r="M66" s="26">
        <v>35073.0</v>
      </c>
      <c r="N66" s="3" t="s">
        <v>2843</v>
      </c>
      <c r="O66" s="3" t="s">
        <v>2844</v>
      </c>
      <c r="P66" s="3" t="s">
        <v>2845</v>
      </c>
      <c r="Q66" s="3" t="s">
        <v>2846</v>
      </c>
      <c r="R66" s="3" t="s">
        <v>2847</v>
      </c>
      <c r="S66" s="3" t="s">
        <v>2848</v>
      </c>
      <c r="T66" s="3" t="s">
        <v>2849</v>
      </c>
      <c r="U66" s="3" t="s">
        <v>1271</v>
      </c>
      <c r="V66" s="3" t="s">
        <v>2850</v>
      </c>
      <c r="W66" s="3" t="s">
        <v>2822</v>
      </c>
      <c r="X66" s="3" t="s">
        <v>2851</v>
      </c>
      <c r="Y66" s="3" t="s">
        <v>971</v>
      </c>
      <c r="Z66" s="3" t="s">
        <v>1874</v>
      </c>
      <c r="AA66" s="3" t="s">
        <v>971</v>
      </c>
      <c r="AB66" s="4"/>
      <c r="AC66" s="3" t="s">
        <v>969</v>
      </c>
      <c r="AD66" s="3" t="s">
        <v>2852</v>
      </c>
      <c r="AE66" s="4"/>
      <c r="AF66" s="3" t="s">
        <v>1250</v>
      </c>
      <c r="AG66" s="3" t="s">
        <v>2853</v>
      </c>
      <c r="AH66" s="3" t="s">
        <v>971</v>
      </c>
      <c r="AI66" s="3" t="s">
        <v>2854</v>
      </c>
      <c r="AJ66" s="3" t="s">
        <v>2855</v>
      </c>
      <c r="AK66" s="3" t="s">
        <v>2856</v>
      </c>
      <c r="AL66" s="3" t="s">
        <v>2857</v>
      </c>
      <c r="AM66" s="3" t="s">
        <v>2858</v>
      </c>
      <c r="AN66" s="3" t="s">
        <v>2859</v>
      </c>
      <c r="AO66" s="3" t="s">
        <v>2860</v>
      </c>
      <c r="AP66" s="3" t="s">
        <v>2861</v>
      </c>
      <c r="AQ66" s="3" t="s">
        <v>2862</v>
      </c>
      <c r="AR66" s="3" t="s">
        <v>2863</v>
      </c>
      <c r="AS66" s="3" t="s">
        <v>969</v>
      </c>
      <c r="AT66" s="3" t="s">
        <v>969</v>
      </c>
      <c r="AU66" s="3" t="s">
        <v>1039</v>
      </c>
      <c r="AV66" s="3" t="s">
        <v>2217</v>
      </c>
      <c r="AW66" s="3" t="s">
        <v>2864</v>
      </c>
      <c r="AX66" s="3" t="s">
        <v>969</v>
      </c>
      <c r="AY66" s="27">
        <v>15.99</v>
      </c>
      <c r="AZ66" s="5" t="s">
        <v>24</v>
      </c>
      <c r="BA66" s="5" t="s">
        <v>22</v>
      </c>
    </row>
    <row r="67" ht="15.75" customHeight="1">
      <c r="A67" s="47">
        <v>66.0</v>
      </c>
      <c r="B67" s="46">
        <v>149.0</v>
      </c>
      <c r="C67" s="5" t="s">
        <v>24</v>
      </c>
      <c r="D67" s="3" t="s">
        <v>953</v>
      </c>
      <c r="E67" s="25">
        <v>46208.91944444444</v>
      </c>
      <c r="F67" s="3" t="s">
        <v>2865</v>
      </c>
      <c r="G67" s="3" t="s">
        <v>2865</v>
      </c>
      <c r="H67" s="3" t="s">
        <v>274</v>
      </c>
      <c r="I67" s="3" t="s">
        <v>2866</v>
      </c>
      <c r="J67" s="3" t="s">
        <v>2867</v>
      </c>
      <c r="K67" s="3" t="s">
        <v>2868</v>
      </c>
      <c r="L67" s="3" t="s">
        <v>2869</v>
      </c>
      <c r="M67" s="26">
        <v>32201.0</v>
      </c>
      <c r="N67" s="3" t="s">
        <v>2870</v>
      </c>
      <c r="O67" s="3" t="s">
        <v>2871</v>
      </c>
      <c r="P67" s="4"/>
      <c r="Q67" s="4"/>
      <c r="R67" s="4"/>
      <c r="S67" s="3" t="s">
        <v>2872</v>
      </c>
      <c r="T67" s="3" t="s">
        <v>2873</v>
      </c>
      <c r="U67" s="3" t="s">
        <v>2874</v>
      </c>
      <c r="V67" s="3" t="s">
        <v>2875</v>
      </c>
      <c r="W67" s="3" t="s">
        <v>2876</v>
      </c>
      <c r="X67" s="3" t="s">
        <v>2877</v>
      </c>
      <c r="Y67" s="3" t="s">
        <v>971</v>
      </c>
      <c r="Z67" s="3" t="s">
        <v>2868</v>
      </c>
      <c r="AA67" s="3" t="s">
        <v>971</v>
      </c>
      <c r="AB67" s="4"/>
      <c r="AC67" s="4"/>
      <c r="AD67" s="3" t="s">
        <v>2878</v>
      </c>
      <c r="AE67" s="4"/>
      <c r="AF67" s="3" t="s">
        <v>2879</v>
      </c>
      <c r="AG67" s="4"/>
      <c r="AH67" s="3" t="s">
        <v>971</v>
      </c>
      <c r="AI67" s="4"/>
      <c r="AJ67" s="3" t="s">
        <v>2880</v>
      </c>
      <c r="AK67" s="3" t="s">
        <v>2881</v>
      </c>
      <c r="AL67" s="3" t="s">
        <v>2882</v>
      </c>
      <c r="AM67" s="3" t="s">
        <v>2883</v>
      </c>
      <c r="AN67" s="3" t="s">
        <v>2884</v>
      </c>
      <c r="AO67" s="3" t="s">
        <v>2885</v>
      </c>
      <c r="AP67" s="3" t="s">
        <v>2886</v>
      </c>
      <c r="AQ67" s="3" t="s">
        <v>2887</v>
      </c>
      <c r="AR67" s="3" t="s">
        <v>2888</v>
      </c>
      <c r="AS67" s="3" t="s">
        <v>969</v>
      </c>
      <c r="AT67" s="3" t="s">
        <v>969</v>
      </c>
      <c r="AU67" s="3" t="s">
        <v>1039</v>
      </c>
      <c r="AV67" s="3" t="s">
        <v>2889</v>
      </c>
      <c r="AW67" s="3" t="s">
        <v>1288</v>
      </c>
      <c r="AX67" s="3" t="s">
        <v>969</v>
      </c>
      <c r="AY67" s="27">
        <v>15.99</v>
      </c>
      <c r="AZ67" s="5" t="s">
        <v>137</v>
      </c>
      <c r="BA67" s="5" t="s">
        <v>7</v>
      </c>
    </row>
    <row r="68" ht="15.75" customHeight="1">
      <c r="A68" s="45">
        <v>67.0</v>
      </c>
      <c r="B68" s="46">
        <v>136.0</v>
      </c>
      <c r="C68" s="5" t="s">
        <v>24</v>
      </c>
      <c r="D68" s="3" t="s">
        <v>953</v>
      </c>
      <c r="E68" s="25">
        <v>46208.82222222222</v>
      </c>
      <c r="F68" s="3" t="s">
        <v>2890</v>
      </c>
      <c r="G68" s="3" t="s">
        <v>2891</v>
      </c>
      <c r="H68" s="3" t="s">
        <v>458</v>
      </c>
      <c r="I68" s="3" t="s">
        <v>2892</v>
      </c>
      <c r="J68" s="3" t="s">
        <v>2893</v>
      </c>
      <c r="K68" s="3" t="s">
        <v>2332</v>
      </c>
      <c r="L68" s="3" t="s">
        <v>2894</v>
      </c>
      <c r="M68" s="26">
        <v>39109.0</v>
      </c>
      <c r="N68" s="3" t="s">
        <v>2895</v>
      </c>
      <c r="O68" s="3" t="s">
        <v>2896</v>
      </c>
      <c r="P68" s="4"/>
      <c r="Q68" s="3" t="s">
        <v>2897</v>
      </c>
      <c r="R68" s="4"/>
      <c r="S68" s="3" t="s">
        <v>2898</v>
      </c>
      <c r="T68" s="3" t="s">
        <v>2899</v>
      </c>
      <c r="U68" s="3" t="s">
        <v>1124</v>
      </c>
      <c r="V68" s="3" t="s">
        <v>2900</v>
      </c>
      <c r="W68" s="3" t="s">
        <v>2901</v>
      </c>
      <c r="X68" s="3" t="s">
        <v>2902</v>
      </c>
      <c r="Y68" s="3" t="s">
        <v>969</v>
      </c>
      <c r="Z68" s="3" t="s">
        <v>2903</v>
      </c>
      <c r="AA68" s="3" t="s">
        <v>971</v>
      </c>
      <c r="AB68" s="4"/>
      <c r="AC68" s="3" t="s">
        <v>2904</v>
      </c>
      <c r="AD68" s="3" t="s">
        <v>2905</v>
      </c>
      <c r="AE68" s="3" t="s">
        <v>2906</v>
      </c>
      <c r="AF68" s="3" t="s">
        <v>2907</v>
      </c>
      <c r="AG68" s="3" t="s">
        <v>2908</v>
      </c>
      <c r="AH68" s="3" t="s">
        <v>971</v>
      </c>
      <c r="AI68" s="4"/>
      <c r="AJ68" s="4"/>
      <c r="AK68" s="4"/>
      <c r="AL68" s="3" t="s">
        <v>2909</v>
      </c>
      <c r="AM68" s="3" t="s">
        <v>2910</v>
      </c>
      <c r="AN68" s="3" t="s">
        <v>2911</v>
      </c>
      <c r="AO68" s="3" t="s">
        <v>2912</v>
      </c>
      <c r="AP68" s="3" t="s">
        <v>2913</v>
      </c>
      <c r="AQ68" s="3" t="s">
        <v>2914</v>
      </c>
      <c r="AR68" s="3" t="s">
        <v>2915</v>
      </c>
      <c r="AS68" s="3" t="s">
        <v>969</v>
      </c>
      <c r="AT68" s="3" t="s">
        <v>969</v>
      </c>
      <c r="AU68" s="3" t="s">
        <v>1039</v>
      </c>
      <c r="AV68" s="3" t="s">
        <v>1498</v>
      </c>
      <c r="AW68" s="3" t="s">
        <v>2916</v>
      </c>
      <c r="AX68" s="3" t="s">
        <v>969</v>
      </c>
      <c r="AY68" s="27">
        <v>15.99</v>
      </c>
      <c r="AZ68" s="5" t="s">
        <v>137</v>
      </c>
      <c r="BA68" s="5" t="s">
        <v>22</v>
      </c>
    </row>
    <row r="69" ht="15.75" customHeight="1">
      <c r="A69" s="45">
        <v>68.0</v>
      </c>
      <c r="B69" s="46">
        <v>115.0</v>
      </c>
      <c r="C69" s="5" t="s">
        <v>24</v>
      </c>
      <c r="D69" s="3" t="s">
        <v>953</v>
      </c>
      <c r="E69" s="25">
        <v>46207.94861111111</v>
      </c>
      <c r="F69" s="3" t="s">
        <v>195</v>
      </c>
      <c r="G69" s="3" t="s">
        <v>195</v>
      </c>
      <c r="H69" s="3" t="s">
        <v>196</v>
      </c>
      <c r="I69" s="3" t="s">
        <v>2917</v>
      </c>
      <c r="J69" s="3" t="s">
        <v>2918</v>
      </c>
      <c r="K69" s="3" t="s">
        <v>2919</v>
      </c>
      <c r="L69" s="3" t="s">
        <v>2920</v>
      </c>
      <c r="M69" s="26">
        <v>38983.0</v>
      </c>
      <c r="N69" s="3" t="s">
        <v>2921</v>
      </c>
      <c r="O69" s="3" t="s">
        <v>2922</v>
      </c>
      <c r="P69" s="3" t="s">
        <v>2923</v>
      </c>
      <c r="Q69" s="4"/>
      <c r="R69" s="4"/>
      <c r="S69" s="3" t="s">
        <v>1605</v>
      </c>
      <c r="T69" s="3" t="s">
        <v>2924</v>
      </c>
      <c r="U69" s="3" t="s">
        <v>1050</v>
      </c>
      <c r="V69" s="3" t="s">
        <v>2925</v>
      </c>
      <c r="W69" s="4"/>
      <c r="X69" s="3" t="s">
        <v>2926</v>
      </c>
      <c r="Y69" s="3" t="s">
        <v>969</v>
      </c>
      <c r="Z69" s="3" t="s">
        <v>2927</v>
      </c>
      <c r="AA69" s="3" t="s">
        <v>969</v>
      </c>
      <c r="AB69" s="3" t="s">
        <v>2928</v>
      </c>
      <c r="AC69" s="4"/>
      <c r="AD69" s="3" t="s">
        <v>2929</v>
      </c>
      <c r="AE69" s="3" t="s">
        <v>2930</v>
      </c>
      <c r="AF69" s="3" t="s">
        <v>2931</v>
      </c>
      <c r="AG69" s="3" t="s">
        <v>1133</v>
      </c>
      <c r="AH69" s="3" t="s">
        <v>971</v>
      </c>
      <c r="AI69" s="4"/>
      <c r="AJ69" s="4"/>
      <c r="AK69" s="4"/>
      <c r="AL69" s="3" t="s">
        <v>2932</v>
      </c>
      <c r="AM69" s="3" t="s">
        <v>2933</v>
      </c>
      <c r="AN69" s="3" t="s">
        <v>2934</v>
      </c>
      <c r="AO69" s="3" t="s">
        <v>2935</v>
      </c>
      <c r="AP69" s="3" t="s">
        <v>2936</v>
      </c>
      <c r="AQ69" s="3" t="s">
        <v>2937</v>
      </c>
      <c r="AR69" s="3" t="s">
        <v>2938</v>
      </c>
      <c r="AS69" s="3" t="s">
        <v>969</v>
      </c>
      <c r="AT69" s="3" t="s">
        <v>969</v>
      </c>
      <c r="AU69" s="3" t="s">
        <v>1233</v>
      </c>
      <c r="AV69" s="3" t="s">
        <v>2939</v>
      </c>
      <c r="AW69" s="3" t="s">
        <v>1499</v>
      </c>
      <c r="AX69" s="3" t="s">
        <v>969</v>
      </c>
      <c r="AY69" s="27">
        <v>15.99</v>
      </c>
      <c r="AZ69" s="5" t="s">
        <v>137</v>
      </c>
      <c r="BA69" s="5" t="s">
        <v>7</v>
      </c>
    </row>
    <row r="70" ht="15.75" customHeight="1">
      <c r="A70" s="47">
        <v>69.0</v>
      </c>
      <c r="B70" s="46">
        <v>83.0</v>
      </c>
      <c r="C70" s="5" t="s">
        <v>24</v>
      </c>
      <c r="D70" s="3" t="s">
        <v>953</v>
      </c>
      <c r="E70" s="25">
        <v>46202.47430555556</v>
      </c>
      <c r="F70" s="3" t="s">
        <v>139</v>
      </c>
      <c r="G70" s="3" t="s">
        <v>2940</v>
      </c>
      <c r="H70" s="3" t="s">
        <v>486</v>
      </c>
      <c r="I70" s="3" t="s">
        <v>2941</v>
      </c>
      <c r="J70" s="3" t="s">
        <v>2942</v>
      </c>
      <c r="K70" s="3" t="s">
        <v>1361</v>
      </c>
      <c r="L70" s="3" t="s">
        <v>2943</v>
      </c>
      <c r="M70" s="26">
        <v>37938.0</v>
      </c>
      <c r="N70" s="3" t="s">
        <v>2944</v>
      </c>
      <c r="O70" s="3" t="s">
        <v>2945</v>
      </c>
      <c r="P70" s="3" t="s">
        <v>139</v>
      </c>
      <c r="Q70" s="3" t="s">
        <v>2946</v>
      </c>
      <c r="R70" s="3" t="s">
        <v>139</v>
      </c>
      <c r="S70" s="3" t="s">
        <v>2947</v>
      </c>
      <c r="T70" s="3" t="s">
        <v>2948</v>
      </c>
      <c r="U70" s="3" t="s">
        <v>1124</v>
      </c>
      <c r="V70" s="3" t="s">
        <v>2949</v>
      </c>
      <c r="W70" s="3" t="s">
        <v>2950</v>
      </c>
      <c r="X70" s="3" t="s">
        <v>2951</v>
      </c>
      <c r="Y70" s="3" t="s">
        <v>969</v>
      </c>
      <c r="Z70" s="4"/>
      <c r="AA70" s="3" t="s">
        <v>971</v>
      </c>
      <c r="AB70" s="4"/>
      <c r="AC70" s="3" t="s">
        <v>969</v>
      </c>
      <c r="AD70" s="3" t="s">
        <v>2952</v>
      </c>
      <c r="AE70" s="3" t="s">
        <v>2953</v>
      </c>
      <c r="AF70" s="3" t="s">
        <v>2954</v>
      </c>
      <c r="AG70" s="3" t="s">
        <v>1030</v>
      </c>
      <c r="AH70" s="3" t="s">
        <v>971</v>
      </c>
      <c r="AI70" s="4"/>
      <c r="AJ70" s="3" t="s">
        <v>971</v>
      </c>
      <c r="AK70" s="4"/>
      <c r="AL70" s="3" t="s">
        <v>2955</v>
      </c>
      <c r="AM70" s="3" t="s">
        <v>2956</v>
      </c>
      <c r="AN70" s="3" t="s">
        <v>2957</v>
      </c>
      <c r="AO70" s="3" t="s">
        <v>2958</v>
      </c>
      <c r="AP70" s="3" t="s">
        <v>2959</v>
      </c>
      <c r="AQ70" s="3" t="s">
        <v>2960</v>
      </c>
      <c r="AR70" s="3" t="s">
        <v>2961</v>
      </c>
      <c r="AS70" s="3" t="s">
        <v>969</v>
      </c>
      <c r="AT70" s="3" t="s">
        <v>969</v>
      </c>
      <c r="AU70" s="3" t="s">
        <v>1233</v>
      </c>
      <c r="AV70" s="3" t="s">
        <v>917</v>
      </c>
      <c r="AW70" s="3" t="s">
        <v>1288</v>
      </c>
      <c r="AX70" s="3" t="s">
        <v>969</v>
      </c>
      <c r="AY70" s="27">
        <v>15.99</v>
      </c>
      <c r="AZ70" s="5" t="s">
        <v>137</v>
      </c>
      <c r="BA70" s="5" t="s">
        <v>22</v>
      </c>
    </row>
    <row r="71">
      <c r="B71" s="49"/>
    </row>
    <row r="72">
      <c r="B72" s="49"/>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row r="900">
      <c r="B900" s="49"/>
    </row>
    <row r="901">
      <c r="B901" s="49"/>
    </row>
    <row r="902">
      <c r="B902" s="49"/>
    </row>
    <row r="903">
      <c r="B903" s="49"/>
    </row>
    <row r="904">
      <c r="B904" s="49"/>
    </row>
    <row r="905">
      <c r="B905" s="49"/>
    </row>
    <row r="906">
      <c r="B906" s="49"/>
    </row>
    <row r="907">
      <c r="B907" s="49"/>
    </row>
    <row r="908">
      <c r="B908" s="49"/>
    </row>
    <row r="909">
      <c r="B909" s="49"/>
    </row>
    <row r="910">
      <c r="B910" s="49"/>
    </row>
    <row r="911">
      <c r="B911" s="49"/>
    </row>
    <row r="912">
      <c r="B912" s="49"/>
    </row>
    <row r="913">
      <c r="B913" s="49"/>
    </row>
    <row r="914">
      <c r="B914" s="49"/>
    </row>
    <row r="915">
      <c r="B915" s="49"/>
    </row>
    <row r="916">
      <c r="B916" s="49"/>
    </row>
    <row r="917">
      <c r="B917" s="49"/>
    </row>
    <row r="918">
      <c r="B918" s="49"/>
    </row>
    <row r="919">
      <c r="B919" s="49"/>
    </row>
    <row r="920">
      <c r="B920" s="49"/>
    </row>
    <row r="921">
      <c r="B921" s="49"/>
    </row>
    <row r="922">
      <c r="B922" s="49"/>
    </row>
    <row r="923">
      <c r="B923" s="49"/>
    </row>
    <row r="924">
      <c r="B924" s="49"/>
    </row>
    <row r="925">
      <c r="B925" s="49"/>
    </row>
    <row r="926">
      <c r="B926" s="49"/>
    </row>
    <row r="927">
      <c r="B927" s="49"/>
    </row>
    <row r="928">
      <c r="B928" s="49"/>
    </row>
    <row r="929">
      <c r="B929" s="49"/>
    </row>
    <row r="930">
      <c r="B930" s="49"/>
    </row>
    <row r="931">
      <c r="B931" s="49"/>
    </row>
    <row r="932">
      <c r="B932" s="49"/>
    </row>
    <row r="933">
      <c r="B933" s="49"/>
    </row>
    <row r="934">
      <c r="B934" s="49"/>
    </row>
    <row r="935">
      <c r="B935" s="49"/>
    </row>
    <row r="936">
      <c r="B936" s="49"/>
    </row>
    <row r="937">
      <c r="B937" s="49"/>
    </row>
    <row r="938">
      <c r="B938" s="49"/>
    </row>
    <row r="939">
      <c r="B939" s="49"/>
    </row>
    <row r="940">
      <c r="B940" s="49"/>
    </row>
    <row r="941">
      <c r="B941" s="49"/>
    </row>
    <row r="942">
      <c r="B942" s="49"/>
    </row>
    <row r="943">
      <c r="B943" s="49"/>
    </row>
    <row r="944">
      <c r="B944" s="49"/>
    </row>
    <row r="945">
      <c r="B945" s="49"/>
    </row>
    <row r="946">
      <c r="B946" s="49"/>
    </row>
    <row r="947">
      <c r="B947" s="49"/>
    </row>
    <row r="948">
      <c r="B948" s="49"/>
    </row>
    <row r="949">
      <c r="B949" s="49"/>
    </row>
    <row r="950">
      <c r="B950" s="49"/>
    </row>
    <row r="951">
      <c r="B951" s="49"/>
    </row>
    <row r="952">
      <c r="B952" s="49"/>
    </row>
    <row r="953">
      <c r="B953" s="49"/>
    </row>
    <row r="954">
      <c r="B954" s="49"/>
    </row>
    <row r="955">
      <c r="B955" s="49"/>
    </row>
    <row r="956">
      <c r="B956" s="49"/>
    </row>
    <row r="957">
      <c r="B957" s="49"/>
    </row>
    <row r="958">
      <c r="B958" s="49"/>
    </row>
    <row r="959">
      <c r="B959" s="49"/>
    </row>
    <row r="960">
      <c r="B960" s="49"/>
    </row>
    <row r="961">
      <c r="B961" s="49"/>
    </row>
    <row r="962">
      <c r="B962" s="49"/>
    </row>
    <row r="963">
      <c r="B963" s="49"/>
    </row>
    <row r="964">
      <c r="B964" s="49"/>
    </row>
    <row r="965">
      <c r="B965" s="49"/>
    </row>
    <row r="966">
      <c r="B966" s="49"/>
    </row>
    <row r="967">
      <c r="B967" s="49"/>
    </row>
    <row r="968">
      <c r="B968" s="49"/>
    </row>
    <row r="969">
      <c r="B969" s="49"/>
    </row>
    <row r="970">
      <c r="B970" s="49"/>
    </row>
    <row r="971">
      <c r="B971" s="49"/>
    </row>
    <row r="972">
      <c r="B972" s="49"/>
    </row>
    <row r="973">
      <c r="B973" s="49"/>
    </row>
    <row r="974">
      <c r="B974" s="49"/>
    </row>
    <row r="975">
      <c r="B975" s="49"/>
    </row>
    <row r="976">
      <c r="B976" s="49"/>
    </row>
    <row r="977">
      <c r="B977" s="49"/>
    </row>
    <row r="978">
      <c r="B978" s="49"/>
    </row>
    <row r="979">
      <c r="B979" s="49"/>
    </row>
    <row r="980">
      <c r="B980" s="49"/>
    </row>
    <row r="981">
      <c r="B981" s="49"/>
    </row>
    <row r="982">
      <c r="B982" s="49"/>
    </row>
    <row r="983">
      <c r="B983" s="49"/>
    </row>
    <row r="984">
      <c r="B984" s="49"/>
    </row>
    <row r="985">
      <c r="B985" s="49"/>
    </row>
    <row r="986">
      <c r="B986" s="49"/>
    </row>
    <row r="987">
      <c r="B987" s="49"/>
    </row>
    <row r="988">
      <c r="B988" s="49"/>
    </row>
    <row r="989">
      <c r="B989" s="49"/>
    </row>
    <row r="990">
      <c r="B990" s="49"/>
    </row>
    <row r="991">
      <c r="B991" s="49"/>
    </row>
    <row r="992">
      <c r="B992" s="49"/>
    </row>
    <row r="993">
      <c r="B993" s="49"/>
    </row>
    <row r="994">
      <c r="B994" s="49"/>
    </row>
    <row r="995">
      <c r="B995" s="49"/>
    </row>
    <row r="996">
      <c r="B996" s="49"/>
    </row>
    <row r="997">
      <c r="B997" s="49"/>
    </row>
    <row r="998">
      <c r="B998" s="49"/>
    </row>
    <row r="999">
      <c r="B999" s="49"/>
    </row>
    <row r="1000">
      <c r="B1000" s="4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s>
  <sheetData>
    <row r="1" ht="15.75" customHeight="1">
      <c r="A1" s="43" t="s">
        <v>4993</v>
      </c>
      <c r="B1" s="50" t="s">
        <v>368</v>
      </c>
      <c r="C1" s="23" t="s">
        <v>904</v>
      </c>
      <c r="D1" s="22" t="s">
        <v>370</v>
      </c>
      <c r="E1" s="22" t="s">
        <v>905</v>
      </c>
      <c r="F1" s="22" t="s">
        <v>906</v>
      </c>
      <c r="G1" s="22" t="s">
        <v>907</v>
      </c>
      <c r="H1" s="22" t="s">
        <v>908</v>
      </c>
      <c r="I1" s="22" t="s">
        <v>909</v>
      </c>
      <c r="J1" s="22" t="s">
        <v>910</v>
      </c>
      <c r="K1" s="22" t="s">
        <v>911</v>
      </c>
      <c r="L1" s="22" t="s">
        <v>912</v>
      </c>
      <c r="M1" s="22" t="s">
        <v>913</v>
      </c>
      <c r="N1" s="22" t="s">
        <v>914</v>
      </c>
      <c r="O1" s="22" t="s">
        <v>915</v>
      </c>
      <c r="P1" s="22" t="s">
        <v>916</v>
      </c>
      <c r="Q1" s="22" t="s">
        <v>917</v>
      </c>
      <c r="R1" s="22" t="s">
        <v>918</v>
      </c>
      <c r="S1" s="22" t="s">
        <v>919</v>
      </c>
      <c r="T1" s="22" t="s">
        <v>920</v>
      </c>
      <c r="U1" s="22" t="s">
        <v>921</v>
      </c>
      <c r="V1" s="22" t="s">
        <v>922</v>
      </c>
      <c r="W1" s="22" t="s">
        <v>923</v>
      </c>
      <c r="X1" s="22" t="s">
        <v>924</v>
      </c>
      <c r="Y1" s="22" t="s">
        <v>925</v>
      </c>
      <c r="Z1" s="22" t="s">
        <v>926</v>
      </c>
      <c r="AA1" s="22" t="s">
        <v>927</v>
      </c>
      <c r="AB1" s="22" t="s">
        <v>928</v>
      </c>
      <c r="AC1" s="22" t="s">
        <v>929</v>
      </c>
      <c r="AD1" s="22" t="s">
        <v>930</v>
      </c>
      <c r="AE1" s="22" t="s">
        <v>931</v>
      </c>
      <c r="AF1" s="22" t="s">
        <v>932</v>
      </c>
      <c r="AG1" s="22" t="s">
        <v>933</v>
      </c>
      <c r="AH1" s="22" t="s">
        <v>934</v>
      </c>
      <c r="AI1" s="22" t="s">
        <v>935</v>
      </c>
      <c r="AJ1" s="22" t="s">
        <v>936</v>
      </c>
      <c r="AK1" s="22" t="s">
        <v>937</v>
      </c>
      <c r="AL1" s="22" t="s">
        <v>938</v>
      </c>
      <c r="AM1" s="22" t="s">
        <v>939</v>
      </c>
      <c r="AN1" s="22" t="s">
        <v>940</v>
      </c>
      <c r="AO1" s="22" t="s">
        <v>941</v>
      </c>
      <c r="AP1" s="22" t="s">
        <v>942</v>
      </c>
      <c r="AQ1" s="22" t="s">
        <v>943</v>
      </c>
      <c r="AR1" s="22" t="s">
        <v>944</v>
      </c>
      <c r="AS1" s="22" t="s">
        <v>945</v>
      </c>
      <c r="AT1" s="22" t="s">
        <v>946</v>
      </c>
      <c r="AU1" s="22" t="s">
        <v>947</v>
      </c>
      <c r="AV1" s="22" t="s">
        <v>948</v>
      </c>
      <c r="AW1" s="22" t="s">
        <v>949</v>
      </c>
      <c r="AX1" s="22" t="s">
        <v>950</v>
      </c>
      <c r="AY1" s="22" t="s">
        <v>951</v>
      </c>
      <c r="AZ1" s="23" t="s">
        <v>904</v>
      </c>
      <c r="BA1" s="23" t="s">
        <v>952</v>
      </c>
    </row>
    <row r="2" ht="15.75" customHeight="1">
      <c r="A2" s="51">
        <v>1.0</v>
      </c>
      <c r="B2" s="52">
        <v>186.0</v>
      </c>
      <c r="C2" s="29" t="s">
        <v>39</v>
      </c>
      <c r="D2" s="30" t="s">
        <v>953</v>
      </c>
      <c r="E2" s="31">
        <v>46215.98958333334</v>
      </c>
      <c r="F2" s="30" t="s">
        <v>352</v>
      </c>
      <c r="G2" s="30" t="s">
        <v>352</v>
      </c>
      <c r="H2" s="30" t="s">
        <v>697</v>
      </c>
      <c r="I2" s="30" t="s">
        <v>1013</v>
      </c>
      <c r="J2" s="30" t="s">
        <v>1014</v>
      </c>
      <c r="K2" s="30" t="s">
        <v>1015</v>
      </c>
      <c r="L2" s="30" t="s">
        <v>1016</v>
      </c>
      <c r="M2" s="32">
        <v>34686.0</v>
      </c>
      <c r="N2" s="30" t="s">
        <v>1017</v>
      </c>
      <c r="O2" s="30" t="s">
        <v>1018</v>
      </c>
      <c r="P2" s="30" t="s">
        <v>1019</v>
      </c>
      <c r="Q2" s="33"/>
      <c r="R2" s="33"/>
      <c r="S2" s="30" t="s">
        <v>1020</v>
      </c>
      <c r="T2" s="30" t="s">
        <v>1021</v>
      </c>
      <c r="U2" s="30" t="s">
        <v>1022</v>
      </c>
      <c r="V2" s="30" t="s">
        <v>1023</v>
      </c>
      <c r="W2" s="30" t="s">
        <v>1024</v>
      </c>
      <c r="X2" s="30" t="s">
        <v>1025</v>
      </c>
      <c r="Y2" s="30" t="s">
        <v>971</v>
      </c>
      <c r="Z2" s="30" t="s">
        <v>1026</v>
      </c>
      <c r="AA2" s="30" t="s">
        <v>969</v>
      </c>
      <c r="AB2" s="30" t="s">
        <v>1027</v>
      </c>
      <c r="AC2" s="30" t="s">
        <v>969</v>
      </c>
      <c r="AD2" s="30" t="s">
        <v>1028</v>
      </c>
      <c r="AE2" s="33"/>
      <c r="AF2" s="30" t="s">
        <v>1029</v>
      </c>
      <c r="AG2" s="30" t="s">
        <v>1030</v>
      </c>
      <c r="AH2" s="30" t="s">
        <v>969</v>
      </c>
      <c r="AI2" s="30" t="s">
        <v>1031</v>
      </c>
      <c r="AJ2" s="30" t="s">
        <v>971</v>
      </c>
      <c r="AK2" s="33"/>
      <c r="AL2" s="30" t="s">
        <v>1032</v>
      </c>
      <c r="AM2" s="30" t="s">
        <v>1033</v>
      </c>
      <c r="AN2" s="30" t="s">
        <v>1034</v>
      </c>
      <c r="AO2" s="30" t="s">
        <v>1035</v>
      </c>
      <c r="AP2" s="30" t="s">
        <v>1036</v>
      </c>
      <c r="AQ2" s="30" t="s">
        <v>1037</v>
      </c>
      <c r="AR2" s="30" t="s">
        <v>1038</v>
      </c>
      <c r="AS2" s="30" t="s">
        <v>969</v>
      </c>
      <c r="AT2" s="30" t="s">
        <v>969</v>
      </c>
      <c r="AU2" s="30" t="s">
        <v>1039</v>
      </c>
      <c r="AV2" s="30" t="s">
        <v>916</v>
      </c>
      <c r="AW2" s="33"/>
      <c r="AX2" s="30" t="s">
        <v>969</v>
      </c>
      <c r="AY2" s="34">
        <v>15.99</v>
      </c>
      <c r="AZ2" s="29" t="s">
        <v>39</v>
      </c>
      <c r="BA2" s="29" t="s">
        <v>22</v>
      </c>
    </row>
    <row r="3" ht="15.75" customHeight="1">
      <c r="A3" s="51">
        <v>2.0</v>
      </c>
      <c r="B3" s="52">
        <v>184.0</v>
      </c>
      <c r="C3" s="29" t="s">
        <v>39</v>
      </c>
      <c r="D3" s="30" t="s">
        <v>953</v>
      </c>
      <c r="E3" s="31">
        <v>46215.89583333334</v>
      </c>
      <c r="F3" s="30" t="s">
        <v>343</v>
      </c>
      <c r="G3" s="30" t="s">
        <v>1040</v>
      </c>
      <c r="H3" s="30" t="s">
        <v>344</v>
      </c>
      <c r="I3" s="30" t="s">
        <v>1041</v>
      </c>
      <c r="J3" s="33"/>
      <c r="K3" s="30" t="s">
        <v>1042</v>
      </c>
      <c r="L3" s="30" t="s">
        <v>1043</v>
      </c>
      <c r="M3" s="32">
        <v>38360.0</v>
      </c>
      <c r="N3" s="30" t="s">
        <v>1044</v>
      </c>
      <c r="O3" s="30" t="s">
        <v>1045</v>
      </c>
      <c r="P3" s="33"/>
      <c r="Q3" s="30" t="s">
        <v>1046</v>
      </c>
      <c r="R3" s="30" t="s">
        <v>1047</v>
      </c>
      <c r="S3" s="30" t="s">
        <v>1048</v>
      </c>
      <c r="T3" s="30" t="s">
        <v>1049</v>
      </c>
      <c r="U3" s="30" t="s">
        <v>1050</v>
      </c>
      <c r="V3" s="30" t="s">
        <v>1051</v>
      </c>
      <c r="W3" s="30" t="s">
        <v>1052</v>
      </c>
      <c r="X3" s="30" t="s">
        <v>1053</v>
      </c>
      <c r="Y3" s="30" t="s">
        <v>969</v>
      </c>
      <c r="Z3" s="30" t="s">
        <v>1054</v>
      </c>
      <c r="AA3" s="30" t="s">
        <v>971</v>
      </c>
      <c r="AB3" s="33"/>
      <c r="AC3" s="30" t="s">
        <v>969</v>
      </c>
      <c r="AD3" s="30" t="s">
        <v>1055</v>
      </c>
      <c r="AE3" s="30" t="s">
        <v>1056</v>
      </c>
      <c r="AF3" s="30" t="s">
        <v>1057</v>
      </c>
      <c r="AG3" s="30" t="s">
        <v>1030</v>
      </c>
      <c r="AH3" s="30" t="s">
        <v>971</v>
      </c>
      <c r="AI3" s="33"/>
      <c r="AJ3" s="30" t="s">
        <v>1058</v>
      </c>
      <c r="AK3" s="30" t="s">
        <v>1059</v>
      </c>
      <c r="AL3" s="30" t="s">
        <v>1060</v>
      </c>
      <c r="AM3" s="30" t="s">
        <v>1061</v>
      </c>
      <c r="AN3" s="30" t="s">
        <v>1062</v>
      </c>
      <c r="AO3" s="30" t="s">
        <v>1063</v>
      </c>
      <c r="AP3" s="30" t="s">
        <v>1064</v>
      </c>
      <c r="AQ3" s="30" t="s">
        <v>1065</v>
      </c>
      <c r="AR3" s="30" t="s">
        <v>1066</v>
      </c>
      <c r="AS3" s="30" t="s">
        <v>969</v>
      </c>
      <c r="AT3" s="30" t="s">
        <v>969</v>
      </c>
      <c r="AU3" s="30" t="s">
        <v>1039</v>
      </c>
      <c r="AV3" s="30" t="s">
        <v>917</v>
      </c>
      <c r="AW3" s="33"/>
      <c r="AX3" s="30" t="s">
        <v>969</v>
      </c>
      <c r="AY3" s="34">
        <v>15.99</v>
      </c>
      <c r="AZ3" s="29" t="s">
        <v>39</v>
      </c>
      <c r="BA3" s="29" t="s">
        <v>7</v>
      </c>
    </row>
    <row r="4" ht="15.75" customHeight="1">
      <c r="A4" s="51">
        <v>3.0</v>
      </c>
      <c r="B4" s="52">
        <v>182.0</v>
      </c>
      <c r="C4" s="29" t="s">
        <v>39</v>
      </c>
      <c r="D4" s="30" t="s">
        <v>953</v>
      </c>
      <c r="E4" s="31">
        <v>46215.79166666666</v>
      </c>
      <c r="F4" s="30" t="s">
        <v>1067</v>
      </c>
      <c r="G4" s="30" t="s">
        <v>1068</v>
      </c>
      <c r="H4" s="30" t="s">
        <v>570</v>
      </c>
      <c r="I4" s="30" t="s">
        <v>570</v>
      </c>
      <c r="J4" s="30" t="s">
        <v>1069</v>
      </c>
      <c r="K4" s="30" t="s">
        <v>1070</v>
      </c>
      <c r="L4" s="30" t="s">
        <v>1071</v>
      </c>
      <c r="M4" s="32">
        <v>34285.0</v>
      </c>
      <c r="N4" s="30" t="s">
        <v>1072</v>
      </c>
      <c r="O4" s="30" t="s">
        <v>1071</v>
      </c>
      <c r="P4" s="30" t="s">
        <v>1073</v>
      </c>
      <c r="Q4" s="33"/>
      <c r="R4" s="33"/>
      <c r="S4" s="30" t="s">
        <v>1074</v>
      </c>
      <c r="T4" s="30" t="s">
        <v>1075</v>
      </c>
      <c r="U4" s="30" t="s">
        <v>1076</v>
      </c>
      <c r="V4" s="30" t="s">
        <v>1077</v>
      </c>
      <c r="W4" s="30" t="s">
        <v>1078</v>
      </c>
      <c r="X4" s="30" t="s">
        <v>1079</v>
      </c>
      <c r="Y4" s="30" t="s">
        <v>969</v>
      </c>
      <c r="Z4" s="30" t="s">
        <v>1080</v>
      </c>
      <c r="AA4" s="30" t="s">
        <v>971</v>
      </c>
      <c r="AB4" s="33"/>
      <c r="AC4" s="30" t="s">
        <v>969</v>
      </c>
      <c r="AD4" s="30" t="s">
        <v>1081</v>
      </c>
      <c r="AE4" s="33"/>
      <c r="AF4" s="33"/>
      <c r="AG4" s="33"/>
      <c r="AH4" s="30" t="s">
        <v>969</v>
      </c>
      <c r="AI4" s="30" t="s">
        <v>1082</v>
      </c>
      <c r="AJ4" s="30" t="s">
        <v>971</v>
      </c>
      <c r="AK4" s="33"/>
      <c r="AL4" s="30" t="s">
        <v>1083</v>
      </c>
      <c r="AM4" s="30" t="s">
        <v>1084</v>
      </c>
      <c r="AN4" s="30" t="s">
        <v>1085</v>
      </c>
      <c r="AO4" s="30" t="s">
        <v>1086</v>
      </c>
      <c r="AP4" s="30" t="s">
        <v>1087</v>
      </c>
      <c r="AQ4" s="30" t="s">
        <v>1088</v>
      </c>
      <c r="AR4" s="30" t="s">
        <v>1089</v>
      </c>
      <c r="AS4" s="30" t="s">
        <v>969</v>
      </c>
      <c r="AT4" s="30" t="s">
        <v>969</v>
      </c>
      <c r="AU4" s="30" t="s">
        <v>1039</v>
      </c>
      <c r="AV4" s="30" t="s">
        <v>1090</v>
      </c>
      <c r="AW4" s="30" t="s">
        <v>1091</v>
      </c>
      <c r="AX4" s="30" t="s">
        <v>969</v>
      </c>
      <c r="AY4" s="34">
        <v>15.99</v>
      </c>
      <c r="AZ4" s="29" t="s">
        <v>39</v>
      </c>
      <c r="BA4" s="29" t="s">
        <v>22</v>
      </c>
    </row>
    <row r="5" ht="15.75" customHeight="1">
      <c r="A5" s="51">
        <v>4.0</v>
      </c>
      <c r="B5" s="52">
        <v>175.0</v>
      </c>
      <c r="C5" s="29" t="s">
        <v>39</v>
      </c>
      <c r="D5" s="30" t="s">
        <v>953</v>
      </c>
      <c r="E5" s="31">
        <v>46214.18958333333</v>
      </c>
      <c r="F5" s="30" t="s">
        <v>329</v>
      </c>
      <c r="G5" s="30" t="s">
        <v>329</v>
      </c>
      <c r="H5" s="30" t="s">
        <v>632</v>
      </c>
      <c r="I5" s="30" t="s">
        <v>1092</v>
      </c>
      <c r="J5" s="30" t="s">
        <v>1093</v>
      </c>
      <c r="K5" s="30" t="s">
        <v>1094</v>
      </c>
      <c r="L5" s="30" t="s">
        <v>1095</v>
      </c>
      <c r="M5" s="32">
        <v>38525.0</v>
      </c>
      <c r="N5" s="30" t="s">
        <v>1096</v>
      </c>
      <c r="O5" s="30" t="s">
        <v>1097</v>
      </c>
      <c r="P5" s="33"/>
      <c r="Q5" s="33"/>
      <c r="R5" s="33"/>
      <c r="S5" s="30" t="s">
        <v>1098</v>
      </c>
      <c r="T5" s="30" t="s">
        <v>1099</v>
      </c>
      <c r="U5" s="30" t="s">
        <v>1100</v>
      </c>
      <c r="V5" s="30" t="s">
        <v>1101</v>
      </c>
      <c r="W5" s="30" t="s">
        <v>1102</v>
      </c>
      <c r="X5" s="30" t="s">
        <v>1103</v>
      </c>
      <c r="Y5" s="30" t="s">
        <v>969</v>
      </c>
      <c r="Z5" s="30" t="s">
        <v>1104</v>
      </c>
      <c r="AA5" s="30" t="s">
        <v>969</v>
      </c>
      <c r="AB5" s="30" t="s">
        <v>1105</v>
      </c>
      <c r="AC5" s="33"/>
      <c r="AD5" s="30" t="s">
        <v>1106</v>
      </c>
      <c r="AE5" s="30" t="s">
        <v>1107</v>
      </c>
      <c r="AF5" s="30" t="s">
        <v>1108</v>
      </c>
      <c r="AG5" s="30" t="s">
        <v>1002</v>
      </c>
      <c r="AH5" s="30" t="s">
        <v>971</v>
      </c>
      <c r="AI5" s="33"/>
      <c r="AJ5" s="33"/>
      <c r="AK5" s="33"/>
      <c r="AL5" s="33"/>
      <c r="AM5" s="30" t="s">
        <v>1109</v>
      </c>
      <c r="AN5" s="30" t="s">
        <v>1110</v>
      </c>
      <c r="AO5" s="30" t="s">
        <v>1111</v>
      </c>
      <c r="AP5" s="30" t="s">
        <v>1112</v>
      </c>
      <c r="AQ5" s="30" t="s">
        <v>1113</v>
      </c>
      <c r="AR5" s="30" t="s">
        <v>1114</v>
      </c>
      <c r="AS5" s="30" t="s">
        <v>969</v>
      </c>
      <c r="AT5" s="30" t="s">
        <v>969</v>
      </c>
      <c r="AU5" s="33"/>
      <c r="AV5" s="30" t="s">
        <v>918</v>
      </c>
      <c r="AW5" s="30" t="s">
        <v>1115</v>
      </c>
      <c r="AX5" s="30" t="s">
        <v>969</v>
      </c>
      <c r="AY5" s="34">
        <v>15.99</v>
      </c>
      <c r="AZ5" s="29" t="s">
        <v>39</v>
      </c>
      <c r="BA5" s="29" t="s">
        <v>22</v>
      </c>
    </row>
    <row r="6" ht="15.75" customHeight="1">
      <c r="A6" s="51">
        <v>5.0</v>
      </c>
      <c r="B6" s="52">
        <v>158.0</v>
      </c>
      <c r="C6" s="29" t="s">
        <v>39</v>
      </c>
      <c r="D6" s="30" t="s">
        <v>953</v>
      </c>
      <c r="E6" s="31">
        <v>46208.99861111111</v>
      </c>
      <c r="F6" s="30" t="s">
        <v>288</v>
      </c>
      <c r="G6" s="30" t="s">
        <v>288</v>
      </c>
      <c r="H6" s="30" t="s">
        <v>516</v>
      </c>
      <c r="I6" s="30" t="s">
        <v>1116</v>
      </c>
      <c r="J6" s="30" t="s">
        <v>1117</v>
      </c>
      <c r="K6" s="30" t="s">
        <v>189</v>
      </c>
      <c r="L6" s="30" t="s">
        <v>1118</v>
      </c>
      <c r="M6" s="32">
        <v>37611.0</v>
      </c>
      <c r="N6" s="30" t="s">
        <v>1119</v>
      </c>
      <c r="O6" s="30" t="s">
        <v>1120</v>
      </c>
      <c r="P6" s="30" t="s">
        <v>1121</v>
      </c>
      <c r="Q6" s="33"/>
      <c r="R6" s="33"/>
      <c r="S6" s="30" t="s">
        <v>1122</v>
      </c>
      <c r="T6" s="30" t="s">
        <v>1123</v>
      </c>
      <c r="U6" s="30" t="s">
        <v>1124</v>
      </c>
      <c r="V6" s="30" t="s">
        <v>1125</v>
      </c>
      <c r="W6" s="30" t="s">
        <v>1126</v>
      </c>
      <c r="X6" s="30" t="s">
        <v>1127</v>
      </c>
      <c r="Y6" s="30" t="s">
        <v>971</v>
      </c>
      <c r="Z6" s="30" t="s">
        <v>1128</v>
      </c>
      <c r="AA6" s="30" t="s">
        <v>971</v>
      </c>
      <c r="AB6" s="33"/>
      <c r="AC6" s="30" t="s">
        <v>1129</v>
      </c>
      <c r="AD6" s="30" t="s">
        <v>1130</v>
      </c>
      <c r="AE6" s="30" t="s">
        <v>1131</v>
      </c>
      <c r="AF6" s="30" t="s">
        <v>1132</v>
      </c>
      <c r="AG6" s="30" t="s">
        <v>1133</v>
      </c>
      <c r="AH6" s="30" t="s">
        <v>969</v>
      </c>
      <c r="AI6" s="30" t="s">
        <v>1134</v>
      </c>
      <c r="AJ6" s="30" t="s">
        <v>1135</v>
      </c>
      <c r="AK6" s="30" t="s">
        <v>1136</v>
      </c>
      <c r="AL6" s="30" t="s">
        <v>1137</v>
      </c>
      <c r="AM6" s="30" t="s">
        <v>1138</v>
      </c>
      <c r="AN6" s="30" t="s">
        <v>1139</v>
      </c>
      <c r="AO6" s="30" t="s">
        <v>1140</v>
      </c>
      <c r="AP6" s="30" t="s">
        <v>1141</v>
      </c>
      <c r="AQ6" s="30" t="s">
        <v>1142</v>
      </c>
      <c r="AR6" s="30" t="s">
        <v>1143</v>
      </c>
      <c r="AS6" s="30" t="s">
        <v>969</v>
      </c>
      <c r="AT6" s="30" t="s">
        <v>969</v>
      </c>
      <c r="AU6" s="30" t="s">
        <v>1039</v>
      </c>
      <c r="AV6" s="30" t="s">
        <v>1144</v>
      </c>
      <c r="AW6" s="33"/>
      <c r="AX6" s="30" t="s">
        <v>969</v>
      </c>
      <c r="AY6" s="34">
        <v>15.99</v>
      </c>
      <c r="AZ6" s="29" t="s">
        <v>39</v>
      </c>
      <c r="BA6" s="29" t="s">
        <v>22</v>
      </c>
    </row>
    <row r="7" ht="15.75" customHeight="1">
      <c r="A7" s="51">
        <v>6.0</v>
      </c>
      <c r="B7" s="52">
        <v>132.0</v>
      </c>
      <c r="C7" s="29" t="s">
        <v>39</v>
      </c>
      <c r="D7" s="30" t="s">
        <v>953</v>
      </c>
      <c r="E7" s="31">
        <v>46208.76944444444</v>
      </c>
      <c r="F7" s="30" t="s">
        <v>221</v>
      </c>
      <c r="G7" s="30" t="s">
        <v>221</v>
      </c>
      <c r="H7" s="30" t="s">
        <v>682</v>
      </c>
      <c r="I7" s="30" t="s">
        <v>1145</v>
      </c>
      <c r="J7" s="30" t="s">
        <v>1146</v>
      </c>
      <c r="K7" s="30" t="s">
        <v>1147</v>
      </c>
      <c r="L7" s="30" t="s">
        <v>1148</v>
      </c>
      <c r="M7" s="32">
        <v>38351.0</v>
      </c>
      <c r="N7" s="30" t="s">
        <v>1149</v>
      </c>
      <c r="O7" s="30" t="s">
        <v>1150</v>
      </c>
      <c r="P7" s="30" t="s">
        <v>1151</v>
      </c>
      <c r="Q7" s="33"/>
      <c r="R7" s="33"/>
      <c r="S7" s="30" t="s">
        <v>1152</v>
      </c>
      <c r="T7" s="30" t="s">
        <v>1153</v>
      </c>
      <c r="U7" s="30" t="s">
        <v>1154</v>
      </c>
      <c r="V7" s="30" t="s">
        <v>1155</v>
      </c>
      <c r="W7" s="33"/>
      <c r="X7" s="30" t="s">
        <v>1156</v>
      </c>
      <c r="Y7" s="30" t="s">
        <v>969</v>
      </c>
      <c r="Z7" s="30" t="s">
        <v>1157</v>
      </c>
      <c r="AA7" s="30" t="s">
        <v>969</v>
      </c>
      <c r="AB7" s="30" t="s">
        <v>1158</v>
      </c>
      <c r="AC7" s="30" t="s">
        <v>1159</v>
      </c>
      <c r="AD7" s="30" t="s">
        <v>1160</v>
      </c>
      <c r="AE7" s="30" t="s">
        <v>1161</v>
      </c>
      <c r="AF7" s="30" t="s">
        <v>1162</v>
      </c>
      <c r="AG7" s="30" t="s">
        <v>1030</v>
      </c>
      <c r="AH7" s="30" t="s">
        <v>971</v>
      </c>
      <c r="AI7" s="33"/>
      <c r="AJ7" s="33"/>
      <c r="AK7" s="33"/>
      <c r="AL7" s="30" t="s">
        <v>1163</v>
      </c>
      <c r="AM7" s="30" t="s">
        <v>1164</v>
      </c>
      <c r="AN7" s="30" t="s">
        <v>1165</v>
      </c>
      <c r="AO7" s="30" t="s">
        <v>1166</v>
      </c>
      <c r="AP7" s="30" t="s">
        <v>1167</v>
      </c>
      <c r="AQ7" s="30" t="s">
        <v>1168</v>
      </c>
      <c r="AR7" s="30" t="s">
        <v>1169</v>
      </c>
      <c r="AS7" s="30" t="s">
        <v>969</v>
      </c>
      <c r="AT7" s="30" t="s">
        <v>969</v>
      </c>
      <c r="AU7" s="30" t="s">
        <v>1039</v>
      </c>
      <c r="AV7" s="30" t="s">
        <v>1170</v>
      </c>
      <c r="AW7" s="30" t="s">
        <v>1171</v>
      </c>
      <c r="AX7" s="30" t="s">
        <v>969</v>
      </c>
      <c r="AY7" s="34">
        <v>15.99</v>
      </c>
      <c r="AZ7" s="29" t="s">
        <v>39</v>
      </c>
      <c r="BA7" s="29" t="s">
        <v>22</v>
      </c>
    </row>
    <row r="8" ht="15.75" customHeight="1">
      <c r="A8" s="51">
        <v>7.0</v>
      </c>
      <c r="B8" s="52">
        <v>98.0</v>
      </c>
      <c r="C8" s="29" t="s">
        <v>39</v>
      </c>
      <c r="D8" s="30" t="s">
        <v>953</v>
      </c>
      <c r="E8" s="31">
        <v>46205.06597222222</v>
      </c>
      <c r="F8" s="30" t="s">
        <v>166</v>
      </c>
      <c r="G8" s="30" t="s">
        <v>166</v>
      </c>
      <c r="H8" s="30" t="s">
        <v>439</v>
      </c>
      <c r="I8" s="30" t="s">
        <v>1204</v>
      </c>
      <c r="J8" s="30" t="s">
        <v>1205</v>
      </c>
      <c r="K8" s="30" t="s">
        <v>1206</v>
      </c>
      <c r="L8" s="30" t="s">
        <v>1207</v>
      </c>
      <c r="M8" s="32">
        <v>38713.0</v>
      </c>
      <c r="N8" s="30" t="s">
        <v>1208</v>
      </c>
      <c r="O8" s="30" t="s">
        <v>1209</v>
      </c>
      <c r="P8" s="30" t="s">
        <v>1210</v>
      </c>
      <c r="Q8" s="30" t="s">
        <v>1211</v>
      </c>
      <c r="R8" s="33"/>
      <c r="S8" s="30" t="s">
        <v>1212</v>
      </c>
      <c r="T8" s="30" t="s">
        <v>1213</v>
      </c>
      <c r="U8" s="30" t="s">
        <v>1050</v>
      </c>
      <c r="V8" s="30" t="s">
        <v>1214</v>
      </c>
      <c r="W8" s="30" t="s">
        <v>1215</v>
      </c>
      <c r="X8" s="30" t="s">
        <v>1216</v>
      </c>
      <c r="Y8" s="30" t="s">
        <v>969</v>
      </c>
      <c r="Z8" s="30" t="s">
        <v>1217</v>
      </c>
      <c r="AA8" s="30" t="s">
        <v>971</v>
      </c>
      <c r="AB8" s="33"/>
      <c r="AC8" s="30" t="s">
        <v>1218</v>
      </c>
      <c r="AD8" s="30" t="s">
        <v>1219</v>
      </c>
      <c r="AE8" s="30" t="s">
        <v>1220</v>
      </c>
      <c r="AF8" s="30" t="s">
        <v>1221</v>
      </c>
      <c r="AG8" s="30" t="s">
        <v>1222</v>
      </c>
      <c r="AH8" s="30" t="s">
        <v>971</v>
      </c>
      <c r="AI8" s="30" t="s">
        <v>1223</v>
      </c>
      <c r="AJ8" s="30" t="s">
        <v>1224</v>
      </c>
      <c r="AK8" s="30" t="s">
        <v>1225</v>
      </c>
      <c r="AL8" s="30" t="s">
        <v>1226</v>
      </c>
      <c r="AM8" s="30" t="s">
        <v>1227</v>
      </c>
      <c r="AN8" s="30" t="s">
        <v>1228</v>
      </c>
      <c r="AO8" s="30" t="s">
        <v>1229</v>
      </c>
      <c r="AP8" s="30" t="s">
        <v>1230</v>
      </c>
      <c r="AQ8" s="30" t="s">
        <v>1231</v>
      </c>
      <c r="AR8" s="30" t="s">
        <v>1232</v>
      </c>
      <c r="AS8" s="30" t="s">
        <v>969</v>
      </c>
      <c r="AT8" s="30" t="s">
        <v>969</v>
      </c>
      <c r="AU8" s="30" t="s">
        <v>1233</v>
      </c>
      <c r="AV8" s="30" t="s">
        <v>1234</v>
      </c>
      <c r="AW8" s="30" t="s">
        <v>1235</v>
      </c>
      <c r="AX8" s="30" t="s">
        <v>969</v>
      </c>
      <c r="AY8" s="34">
        <v>15.99</v>
      </c>
      <c r="AZ8" s="29" t="s">
        <v>39</v>
      </c>
      <c r="BA8" s="29" t="s">
        <v>22</v>
      </c>
    </row>
    <row r="9" ht="15.75" customHeight="1">
      <c r="A9" s="51">
        <v>8.0</v>
      </c>
      <c r="B9" s="52">
        <v>73.0</v>
      </c>
      <c r="C9" s="29" t="s">
        <v>39</v>
      </c>
      <c r="D9" s="30" t="s">
        <v>953</v>
      </c>
      <c r="E9" s="31">
        <v>46199.67013888889</v>
      </c>
      <c r="F9" s="30" t="s">
        <v>126</v>
      </c>
      <c r="G9" s="30" t="s">
        <v>126</v>
      </c>
      <c r="H9" s="30" t="s">
        <v>531</v>
      </c>
      <c r="I9" s="30" t="s">
        <v>1236</v>
      </c>
      <c r="J9" s="30" t="s">
        <v>1237</v>
      </c>
      <c r="K9" s="30" t="s">
        <v>1238</v>
      </c>
      <c r="L9" s="30" t="s">
        <v>1239</v>
      </c>
      <c r="M9" s="32">
        <v>35596.0</v>
      </c>
      <c r="N9" s="30" t="s">
        <v>1240</v>
      </c>
      <c r="O9" s="30" t="s">
        <v>1241</v>
      </c>
      <c r="P9" s="33"/>
      <c r="Q9" s="33"/>
      <c r="R9" s="33"/>
      <c r="S9" s="30" t="s">
        <v>1242</v>
      </c>
      <c r="T9" s="30" t="s">
        <v>1243</v>
      </c>
      <c r="U9" s="30" t="s">
        <v>1244</v>
      </c>
      <c r="V9" s="30" t="s">
        <v>1245</v>
      </c>
      <c r="W9" s="33"/>
      <c r="X9" s="30" t="s">
        <v>1246</v>
      </c>
      <c r="Y9" s="30" t="s">
        <v>969</v>
      </c>
      <c r="Z9" s="30" t="s">
        <v>1247</v>
      </c>
      <c r="AA9" s="30" t="s">
        <v>971</v>
      </c>
      <c r="AB9" s="33"/>
      <c r="AC9" s="30" t="s">
        <v>969</v>
      </c>
      <c r="AD9" s="30" t="s">
        <v>1248</v>
      </c>
      <c r="AE9" s="30" t="s">
        <v>1249</v>
      </c>
      <c r="AF9" s="30" t="s">
        <v>1250</v>
      </c>
      <c r="AG9" s="30" t="s">
        <v>1002</v>
      </c>
      <c r="AH9" s="30" t="s">
        <v>971</v>
      </c>
      <c r="AI9" s="33"/>
      <c r="AJ9" s="30" t="s">
        <v>1251</v>
      </c>
      <c r="AK9" s="30" t="s">
        <v>1252</v>
      </c>
      <c r="AL9" s="30" t="s">
        <v>1253</v>
      </c>
      <c r="AM9" s="30" t="s">
        <v>1254</v>
      </c>
      <c r="AN9" s="30" t="s">
        <v>1255</v>
      </c>
      <c r="AO9" s="30" t="s">
        <v>1256</v>
      </c>
      <c r="AP9" s="30" t="s">
        <v>1257</v>
      </c>
      <c r="AQ9" s="30" t="s">
        <v>1258</v>
      </c>
      <c r="AR9" s="30" t="s">
        <v>1259</v>
      </c>
      <c r="AS9" s="30" t="s">
        <v>969</v>
      </c>
      <c r="AT9" s="30" t="s">
        <v>969</v>
      </c>
      <c r="AU9" s="30" t="s">
        <v>1260</v>
      </c>
      <c r="AV9" s="30" t="s">
        <v>1261</v>
      </c>
      <c r="AW9" s="30" t="s">
        <v>1262</v>
      </c>
      <c r="AX9" s="30" t="s">
        <v>969</v>
      </c>
      <c r="AY9" s="34">
        <v>15.99</v>
      </c>
      <c r="AZ9" s="29" t="s">
        <v>39</v>
      </c>
      <c r="BA9" s="29" t="s">
        <v>22</v>
      </c>
    </row>
    <row r="10" ht="15.75" customHeight="1">
      <c r="A10" s="51">
        <v>9.0</v>
      </c>
      <c r="B10" s="52">
        <v>43.0</v>
      </c>
      <c r="C10" s="29" t="s">
        <v>39</v>
      </c>
      <c r="D10" s="30" t="s">
        <v>953</v>
      </c>
      <c r="E10" s="31">
        <v>46189.72361111111</v>
      </c>
      <c r="F10" s="30" t="s">
        <v>63</v>
      </c>
      <c r="G10" s="30" t="s">
        <v>63</v>
      </c>
      <c r="H10" s="30" t="s">
        <v>622</v>
      </c>
      <c r="I10" s="30" t="s">
        <v>1263</v>
      </c>
      <c r="J10" s="30" t="s">
        <v>1264</v>
      </c>
      <c r="K10" s="30" t="s">
        <v>130</v>
      </c>
      <c r="L10" s="30" t="s">
        <v>1265</v>
      </c>
      <c r="M10" s="32">
        <v>36639.0</v>
      </c>
      <c r="N10" s="30" t="s">
        <v>1266</v>
      </c>
      <c r="O10" s="30" t="s">
        <v>1267</v>
      </c>
      <c r="P10" s="30" t="s">
        <v>1268</v>
      </c>
      <c r="Q10" s="33"/>
      <c r="R10" s="33"/>
      <c r="S10" s="30" t="s">
        <v>1269</v>
      </c>
      <c r="T10" s="30" t="s">
        <v>1270</v>
      </c>
      <c r="U10" s="30" t="s">
        <v>1271</v>
      </c>
      <c r="V10" s="30" t="s">
        <v>1272</v>
      </c>
      <c r="W10" s="30" t="s">
        <v>1273</v>
      </c>
      <c r="X10" s="30" t="s">
        <v>1274</v>
      </c>
      <c r="Y10" s="30" t="s">
        <v>969</v>
      </c>
      <c r="Z10" s="30" t="s">
        <v>1275</v>
      </c>
      <c r="AA10" s="30" t="s">
        <v>971</v>
      </c>
      <c r="AB10" s="33"/>
      <c r="AC10" s="30" t="s">
        <v>1276</v>
      </c>
      <c r="AD10" s="30" t="s">
        <v>1277</v>
      </c>
      <c r="AE10" s="30" t="s">
        <v>1278</v>
      </c>
      <c r="AF10" s="30" t="s">
        <v>1279</v>
      </c>
      <c r="AG10" s="30" t="s">
        <v>1030</v>
      </c>
      <c r="AH10" s="30" t="s">
        <v>971</v>
      </c>
      <c r="AI10" s="33"/>
      <c r="AJ10" s="30" t="s">
        <v>971</v>
      </c>
      <c r="AK10" s="33"/>
      <c r="AL10" s="30" t="s">
        <v>1280</v>
      </c>
      <c r="AM10" s="30" t="s">
        <v>1281</v>
      </c>
      <c r="AN10" s="30" t="s">
        <v>1282</v>
      </c>
      <c r="AO10" s="30" t="s">
        <v>1283</v>
      </c>
      <c r="AP10" s="30" t="s">
        <v>1284</v>
      </c>
      <c r="AQ10" s="30" t="s">
        <v>1285</v>
      </c>
      <c r="AR10" s="30" t="s">
        <v>1286</v>
      </c>
      <c r="AS10" s="30" t="s">
        <v>969</v>
      </c>
      <c r="AT10" s="30" t="s">
        <v>969</v>
      </c>
      <c r="AU10" s="30" t="s">
        <v>1039</v>
      </c>
      <c r="AV10" s="30" t="s">
        <v>1287</v>
      </c>
      <c r="AW10" s="30" t="s">
        <v>1288</v>
      </c>
      <c r="AX10" s="30" t="s">
        <v>969</v>
      </c>
      <c r="AY10" s="34">
        <v>15.99</v>
      </c>
      <c r="AZ10" s="29" t="s">
        <v>39</v>
      </c>
      <c r="BA10" s="29" t="s">
        <v>22</v>
      </c>
    </row>
    <row r="11" ht="15.75" customHeight="1">
      <c r="A11" s="51">
        <v>10.0</v>
      </c>
      <c r="B11" s="52">
        <v>27.0</v>
      </c>
      <c r="C11" s="29" t="s">
        <v>39</v>
      </c>
      <c r="D11" s="30" t="s">
        <v>953</v>
      </c>
      <c r="E11" s="31">
        <v>46185.00277777778</v>
      </c>
      <c r="F11" s="30" t="s">
        <v>847</v>
      </c>
      <c r="G11" s="30" t="s">
        <v>1289</v>
      </c>
      <c r="H11" s="30" t="s">
        <v>42</v>
      </c>
      <c r="I11" s="30" t="s">
        <v>1290</v>
      </c>
      <c r="J11" s="33"/>
      <c r="K11" s="30" t="s">
        <v>1291</v>
      </c>
      <c r="L11" s="30" t="s">
        <v>1292</v>
      </c>
      <c r="M11" s="32">
        <v>33418.0</v>
      </c>
      <c r="N11" s="30" t="s">
        <v>1293</v>
      </c>
      <c r="O11" s="30" t="s">
        <v>1292</v>
      </c>
      <c r="P11" s="33"/>
      <c r="Q11" s="30" t="s">
        <v>1294</v>
      </c>
      <c r="R11" s="33"/>
      <c r="S11" s="30" t="s">
        <v>1295</v>
      </c>
      <c r="T11" s="30" t="s">
        <v>1296</v>
      </c>
      <c r="U11" s="30" t="s">
        <v>1297</v>
      </c>
      <c r="V11" s="30" t="s">
        <v>1298</v>
      </c>
      <c r="W11" s="33"/>
      <c r="X11" s="30" t="s">
        <v>1299</v>
      </c>
      <c r="Y11" s="30" t="s">
        <v>971</v>
      </c>
      <c r="Z11" s="33"/>
      <c r="AA11" s="30" t="s">
        <v>971</v>
      </c>
      <c r="AB11" s="33"/>
      <c r="AC11" s="30" t="s">
        <v>969</v>
      </c>
      <c r="AD11" s="30" t="s">
        <v>1300</v>
      </c>
      <c r="AE11" s="33"/>
      <c r="AF11" s="30" t="s">
        <v>1301</v>
      </c>
      <c r="AG11" s="30" t="s">
        <v>1302</v>
      </c>
      <c r="AH11" s="30" t="s">
        <v>971</v>
      </c>
      <c r="AI11" s="33"/>
      <c r="AJ11" s="30" t="s">
        <v>1303</v>
      </c>
      <c r="AK11" s="30" t="s">
        <v>1304</v>
      </c>
      <c r="AL11" s="30" t="s">
        <v>1305</v>
      </c>
      <c r="AM11" s="30" t="s">
        <v>1306</v>
      </c>
      <c r="AN11" s="30" t="s">
        <v>1307</v>
      </c>
      <c r="AO11" s="30" t="s">
        <v>1308</v>
      </c>
      <c r="AP11" s="30" t="s">
        <v>1309</v>
      </c>
      <c r="AQ11" s="30" t="s">
        <v>1310</v>
      </c>
      <c r="AR11" s="30" t="s">
        <v>1311</v>
      </c>
      <c r="AS11" s="30" t="s">
        <v>969</v>
      </c>
      <c r="AT11" s="30" t="s">
        <v>969</v>
      </c>
      <c r="AU11" s="30" t="s">
        <v>1233</v>
      </c>
      <c r="AV11" s="30" t="s">
        <v>1287</v>
      </c>
      <c r="AW11" s="33"/>
      <c r="AX11" s="30" t="s">
        <v>969</v>
      </c>
      <c r="AY11" s="34">
        <v>15.99</v>
      </c>
      <c r="AZ11" s="29" t="s">
        <v>39</v>
      </c>
      <c r="BA11" s="29" t="s">
        <v>43</v>
      </c>
    </row>
    <row r="12">
      <c r="B12" s="53"/>
    </row>
    <row r="13">
      <c r="B13" s="53"/>
    </row>
    <row r="14">
      <c r="B14" s="53"/>
    </row>
    <row r="15">
      <c r="B15" s="53"/>
    </row>
    <row r="16">
      <c r="B16" s="53"/>
    </row>
    <row r="17">
      <c r="B17" s="53"/>
    </row>
    <row r="18">
      <c r="B18" s="53"/>
    </row>
    <row r="19">
      <c r="B19" s="53"/>
    </row>
    <row r="20">
      <c r="B20" s="53"/>
    </row>
    <row r="21">
      <c r="B21" s="53"/>
    </row>
    <row r="22">
      <c r="B22" s="53"/>
    </row>
    <row r="23">
      <c r="B23" s="53"/>
    </row>
    <row r="24">
      <c r="B24" s="53"/>
    </row>
    <row r="25">
      <c r="B25" s="53"/>
    </row>
    <row r="26">
      <c r="B26" s="53"/>
    </row>
    <row r="27">
      <c r="B27" s="53"/>
    </row>
    <row r="28">
      <c r="B28" s="53"/>
    </row>
    <row r="29">
      <c r="B29" s="53"/>
    </row>
    <row r="30">
      <c r="B30" s="53"/>
    </row>
    <row r="31">
      <c r="B31" s="53"/>
    </row>
    <row r="32">
      <c r="B32" s="53"/>
    </row>
    <row r="33">
      <c r="B33" s="53"/>
    </row>
    <row r="34">
      <c r="B34" s="53"/>
    </row>
    <row r="35">
      <c r="B35" s="53"/>
    </row>
    <row r="36">
      <c r="B36" s="53"/>
    </row>
    <row r="37">
      <c r="B37" s="53"/>
    </row>
    <row r="38">
      <c r="B38" s="53"/>
    </row>
    <row r="39">
      <c r="B39" s="53"/>
    </row>
    <row r="40">
      <c r="B40" s="53"/>
    </row>
    <row r="41">
      <c r="B41" s="53"/>
    </row>
    <row r="42">
      <c r="B42" s="53"/>
    </row>
    <row r="43">
      <c r="B43" s="53"/>
    </row>
    <row r="44">
      <c r="B44" s="53"/>
    </row>
    <row r="45">
      <c r="B45" s="53"/>
    </row>
    <row r="46">
      <c r="B46" s="53"/>
    </row>
    <row r="47">
      <c r="B47" s="53"/>
    </row>
    <row r="48">
      <c r="B48" s="53"/>
    </row>
    <row r="49">
      <c r="B49" s="53"/>
    </row>
    <row r="50">
      <c r="B50" s="53"/>
    </row>
    <row r="51">
      <c r="B51" s="53"/>
    </row>
    <row r="52">
      <c r="B52" s="53"/>
    </row>
    <row r="53">
      <c r="B53" s="53"/>
    </row>
    <row r="54">
      <c r="B54" s="53"/>
    </row>
    <row r="55">
      <c r="B55" s="53"/>
    </row>
    <row r="56">
      <c r="B56" s="53"/>
    </row>
    <row r="57">
      <c r="B57" s="53"/>
    </row>
    <row r="58">
      <c r="B58" s="53"/>
    </row>
    <row r="59">
      <c r="B59" s="53"/>
    </row>
    <row r="60">
      <c r="B60" s="53"/>
    </row>
    <row r="61">
      <c r="B61" s="53"/>
    </row>
    <row r="62">
      <c r="B62" s="53"/>
    </row>
    <row r="63">
      <c r="B63" s="53"/>
    </row>
    <row r="64">
      <c r="B64" s="53"/>
    </row>
    <row r="65">
      <c r="B65" s="53"/>
    </row>
    <row r="66">
      <c r="B66" s="53"/>
    </row>
    <row r="67">
      <c r="B67" s="53"/>
    </row>
    <row r="68">
      <c r="B68" s="53"/>
    </row>
    <row r="69">
      <c r="B69" s="53"/>
    </row>
    <row r="70">
      <c r="B70" s="53"/>
    </row>
    <row r="71">
      <c r="B71" s="53"/>
    </row>
    <row r="72">
      <c r="B72" s="53"/>
    </row>
    <row r="73">
      <c r="B73" s="53"/>
    </row>
    <row r="74">
      <c r="B74" s="53"/>
    </row>
    <row r="75">
      <c r="B75" s="53"/>
    </row>
    <row r="76">
      <c r="B76" s="53"/>
    </row>
    <row r="77">
      <c r="B77" s="53"/>
    </row>
    <row r="78">
      <c r="B78" s="53"/>
    </row>
    <row r="79">
      <c r="B79" s="53"/>
    </row>
    <row r="80">
      <c r="B80" s="53"/>
    </row>
    <row r="81">
      <c r="B81" s="53"/>
    </row>
    <row r="82">
      <c r="B82" s="53"/>
    </row>
    <row r="83">
      <c r="B83" s="53"/>
    </row>
    <row r="84">
      <c r="B84" s="53"/>
    </row>
    <row r="85">
      <c r="B85" s="53"/>
    </row>
    <row r="86">
      <c r="B86" s="53"/>
    </row>
    <row r="87">
      <c r="B87" s="53"/>
    </row>
    <row r="88">
      <c r="B88" s="53"/>
    </row>
    <row r="89">
      <c r="B89" s="53"/>
    </row>
    <row r="90">
      <c r="B90" s="53"/>
    </row>
    <row r="91">
      <c r="B91" s="53"/>
    </row>
    <row r="92">
      <c r="B92" s="53"/>
    </row>
    <row r="93">
      <c r="B93" s="53"/>
    </row>
    <row r="94">
      <c r="B94" s="53"/>
    </row>
    <row r="95">
      <c r="B95" s="53"/>
    </row>
    <row r="96">
      <c r="B96" s="53"/>
    </row>
    <row r="97">
      <c r="B97" s="53"/>
    </row>
    <row r="98">
      <c r="B98" s="53"/>
    </row>
    <row r="99">
      <c r="B99" s="53"/>
    </row>
    <row r="100">
      <c r="B100" s="53"/>
    </row>
    <row r="101">
      <c r="B101" s="53"/>
    </row>
    <row r="102">
      <c r="B102" s="53"/>
    </row>
    <row r="103">
      <c r="B103" s="53"/>
    </row>
    <row r="104">
      <c r="B104" s="53"/>
    </row>
    <row r="105">
      <c r="B105" s="53"/>
    </row>
    <row r="106">
      <c r="B106" s="53"/>
    </row>
    <row r="107">
      <c r="B107" s="53"/>
    </row>
    <row r="108">
      <c r="B108" s="53"/>
    </row>
    <row r="109">
      <c r="B109" s="53"/>
    </row>
    <row r="110">
      <c r="B110" s="53"/>
    </row>
    <row r="111">
      <c r="B111" s="53"/>
    </row>
    <row r="112">
      <c r="B112" s="53"/>
    </row>
    <row r="113">
      <c r="B113" s="53"/>
    </row>
    <row r="114">
      <c r="B114" s="53"/>
    </row>
    <row r="115">
      <c r="B115" s="53"/>
    </row>
    <row r="116">
      <c r="B116" s="53"/>
    </row>
    <row r="117">
      <c r="B117" s="53"/>
    </row>
    <row r="118">
      <c r="B118" s="53"/>
    </row>
    <row r="119">
      <c r="B119" s="53"/>
    </row>
    <row r="120">
      <c r="B120" s="53"/>
    </row>
    <row r="121">
      <c r="B121" s="53"/>
    </row>
    <row r="122">
      <c r="B122" s="53"/>
    </row>
    <row r="123">
      <c r="B123" s="53"/>
    </row>
    <row r="124">
      <c r="B124" s="53"/>
    </row>
    <row r="125">
      <c r="B125" s="53"/>
    </row>
    <row r="126">
      <c r="B126" s="53"/>
    </row>
    <row r="127">
      <c r="B127" s="53"/>
    </row>
    <row r="128">
      <c r="B128" s="53"/>
    </row>
    <row r="129">
      <c r="B129" s="53"/>
    </row>
    <row r="130">
      <c r="B130" s="53"/>
    </row>
    <row r="131">
      <c r="B131" s="53"/>
    </row>
    <row r="132">
      <c r="B132" s="53"/>
    </row>
    <row r="133">
      <c r="B133" s="53"/>
    </row>
    <row r="134">
      <c r="B134" s="53"/>
    </row>
    <row r="135">
      <c r="B135" s="53"/>
    </row>
    <row r="136">
      <c r="B136" s="53"/>
    </row>
    <row r="137">
      <c r="B137" s="53"/>
    </row>
    <row r="138">
      <c r="B138" s="53"/>
    </row>
    <row r="139">
      <c r="B139" s="53"/>
    </row>
    <row r="140">
      <c r="B140" s="53"/>
    </row>
    <row r="141">
      <c r="B141" s="53"/>
    </row>
    <row r="142">
      <c r="B142" s="53"/>
    </row>
    <row r="143">
      <c r="B143" s="53"/>
    </row>
    <row r="144">
      <c r="B144" s="53"/>
    </row>
    <row r="145">
      <c r="B145" s="53"/>
    </row>
    <row r="146">
      <c r="B146" s="53"/>
    </row>
    <row r="147">
      <c r="B147" s="53"/>
    </row>
    <row r="148">
      <c r="B148" s="53"/>
    </row>
    <row r="149">
      <c r="B149" s="53"/>
    </row>
    <row r="150">
      <c r="B150" s="53"/>
    </row>
    <row r="151">
      <c r="B151" s="53"/>
    </row>
    <row r="152">
      <c r="B152" s="53"/>
    </row>
    <row r="153">
      <c r="B153" s="53"/>
    </row>
    <row r="154">
      <c r="B154" s="53"/>
    </row>
    <row r="155">
      <c r="B155" s="53"/>
    </row>
    <row r="156">
      <c r="B156" s="53"/>
    </row>
    <row r="157">
      <c r="B157" s="53"/>
    </row>
    <row r="158">
      <c r="B158" s="53"/>
    </row>
    <row r="159">
      <c r="B159" s="53"/>
    </row>
    <row r="160">
      <c r="B160" s="53"/>
    </row>
    <row r="161">
      <c r="B161" s="53"/>
    </row>
    <row r="162">
      <c r="B162" s="53"/>
    </row>
    <row r="163">
      <c r="B163" s="53"/>
    </row>
    <row r="164">
      <c r="B164" s="53"/>
    </row>
    <row r="165">
      <c r="B165" s="53"/>
    </row>
    <row r="166">
      <c r="B166" s="53"/>
    </row>
    <row r="167">
      <c r="B167" s="53"/>
    </row>
    <row r="168">
      <c r="B168" s="53"/>
    </row>
    <row r="169">
      <c r="B169" s="53"/>
    </row>
    <row r="170">
      <c r="B170" s="53"/>
    </row>
    <row r="171">
      <c r="B171" s="53"/>
    </row>
    <row r="172">
      <c r="B172" s="53"/>
    </row>
    <row r="173">
      <c r="B173" s="53"/>
    </row>
    <row r="174">
      <c r="B174" s="53"/>
    </row>
    <row r="175">
      <c r="B175" s="53"/>
    </row>
    <row r="176">
      <c r="B176" s="53"/>
    </row>
    <row r="177">
      <c r="B177" s="53"/>
    </row>
    <row r="178">
      <c r="B178" s="53"/>
    </row>
    <row r="179">
      <c r="B179" s="53"/>
    </row>
    <row r="180">
      <c r="B180" s="53"/>
    </row>
    <row r="181">
      <c r="B181" s="53"/>
    </row>
    <row r="182">
      <c r="B182" s="53"/>
    </row>
    <row r="183">
      <c r="B183" s="53"/>
    </row>
    <row r="184">
      <c r="B184" s="53"/>
    </row>
    <row r="185">
      <c r="B185" s="53"/>
    </row>
    <row r="186">
      <c r="B186" s="53"/>
    </row>
    <row r="187">
      <c r="B187" s="53"/>
    </row>
    <row r="188">
      <c r="B188" s="53"/>
    </row>
    <row r="189">
      <c r="B189" s="53"/>
    </row>
    <row r="190">
      <c r="B190" s="53"/>
    </row>
    <row r="191">
      <c r="B191" s="53"/>
    </row>
    <row r="192">
      <c r="B192" s="53"/>
    </row>
    <row r="193">
      <c r="B193" s="53"/>
    </row>
    <row r="194">
      <c r="B194" s="53"/>
    </row>
    <row r="195">
      <c r="B195" s="53"/>
    </row>
    <row r="196">
      <c r="B196" s="53"/>
    </row>
    <row r="197">
      <c r="B197" s="53"/>
    </row>
    <row r="198">
      <c r="B198" s="53"/>
    </row>
    <row r="199">
      <c r="B199" s="53"/>
    </row>
    <row r="200">
      <c r="B200" s="53"/>
    </row>
    <row r="201">
      <c r="B201" s="53"/>
    </row>
    <row r="202">
      <c r="B202" s="53"/>
    </row>
    <row r="203">
      <c r="B203" s="53"/>
    </row>
    <row r="204">
      <c r="B204" s="53"/>
    </row>
    <row r="205">
      <c r="B205" s="53"/>
    </row>
    <row r="206">
      <c r="B206" s="53"/>
    </row>
    <row r="207">
      <c r="B207" s="53"/>
    </row>
    <row r="208">
      <c r="B208" s="53"/>
    </row>
    <row r="209">
      <c r="B209" s="53"/>
    </row>
    <row r="210">
      <c r="B210" s="53"/>
    </row>
    <row r="211">
      <c r="B211" s="53"/>
    </row>
    <row r="212">
      <c r="B212" s="53"/>
    </row>
    <row r="213">
      <c r="B213" s="53"/>
    </row>
    <row r="214">
      <c r="B214" s="53"/>
    </row>
    <row r="215">
      <c r="B215" s="53"/>
    </row>
    <row r="216">
      <c r="B216" s="53"/>
    </row>
    <row r="217">
      <c r="B217" s="53"/>
    </row>
    <row r="218">
      <c r="B218" s="53"/>
    </row>
    <row r="219">
      <c r="B219" s="53"/>
    </row>
    <row r="220">
      <c r="B220" s="53"/>
    </row>
    <row r="221">
      <c r="B221" s="53"/>
    </row>
    <row r="222">
      <c r="B222" s="53"/>
    </row>
    <row r="223">
      <c r="B223" s="53"/>
    </row>
    <row r="224">
      <c r="B224" s="53"/>
    </row>
    <row r="225">
      <c r="B225" s="53"/>
    </row>
    <row r="226">
      <c r="B226" s="53"/>
    </row>
    <row r="227">
      <c r="B227" s="53"/>
    </row>
    <row r="228">
      <c r="B228" s="53"/>
    </row>
    <row r="229">
      <c r="B229" s="53"/>
    </row>
    <row r="230">
      <c r="B230" s="53"/>
    </row>
    <row r="231">
      <c r="B231" s="53"/>
    </row>
    <row r="232">
      <c r="B232" s="53"/>
    </row>
    <row r="233">
      <c r="B233" s="53"/>
    </row>
    <row r="234">
      <c r="B234" s="53"/>
    </row>
    <row r="235">
      <c r="B235" s="53"/>
    </row>
    <row r="236">
      <c r="B236" s="53"/>
    </row>
    <row r="237">
      <c r="B237" s="53"/>
    </row>
    <row r="238">
      <c r="B238" s="53"/>
    </row>
    <row r="239">
      <c r="B239" s="53"/>
    </row>
    <row r="240">
      <c r="B240" s="53"/>
    </row>
    <row r="241">
      <c r="B241" s="53"/>
    </row>
    <row r="242">
      <c r="B242" s="53"/>
    </row>
    <row r="243">
      <c r="B243" s="53"/>
    </row>
    <row r="244">
      <c r="B244" s="53"/>
    </row>
    <row r="245">
      <c r="B245" s="53"/>
    </row>
    <row r="246">
      <c r="B246" s="53"/>
    </row>
    <row r="247">
      <c r="B247" s="53"/>
    </row>
    <row r="248">
      <c r="B248" s="53"/>
    </row>
    <row r="249">
      <c r="B249" s="53"/>
    </row>
    <row r="250">
      <c r="B250" s="53"/>
    </row>
    <row r="251">
      <c r="B251" s="53"/>
    </row>
    <row r="252">
      <c r="B252" s="53"/>
    </row>
    <row r="253">
      <c r="B253" s="53"/>
    </row>
    <row r="254">
      <c r="B254" s="53"/>
    </row>
    <row r="255">
      <c r="B255" s="53"/>
    </row>
    <row r="256">
      <c r="B256" s="53"/>
    </row>
    <row r="257">
      <c r="B257" s="53"/>
    </row>
    <row r="258">
      <c r="B258" s="53"/>
    </row>
    <row r="259">
      <c r="B259" s="53"/>
    </row>
    <row r="260">
      <c r="B260" s="53"/>
    </row>
    <row r="261">
      <c r="B261" s="53"/>
    </row>
    <row r="262">
      <c r="B262" s="53"/>
    </row>
    <row r="263">
      <c r="B263" s="53"/>
    </row>
    <row r="264">
      <c r="B264" s="53"/>
    </row>
    <row r="265">
      <c r="B265" s="53"/>
    </row>
    <row r="266">
      <c r="B266" s="53"/>
    </row>
    <row r="267">
      <c r="B267" s="53"/>
    </row>
    <row r="268">
      <c r="B268" s="53"/>
    </row>
    <row r="269">
      <c r="B269" s="53"/>
    </row>
    <row r="270">
      <c r="B270" s="53"/>
    </row>
    <row r="271">
      <c r="B271" s="53"/>
    </row>
    <row r="272">
      <c r="B272" s="53"/>
    </row>
    <row r="273">
      <c r="B273" s="53"/>
    </row>
    <row r="274">
      <c r="B274" s="53"/>
    </row>
    <row r="275">
      <c r="B275" s="53"/>
    </row>
    <row r="276">
      <c r="B276" s="53"/>
    </row>
    <row r="277">
      <c r="B277" s="53"/>
    </row>
    <row r="278">
      <c r="B278" s="53"/>
    </row>
    <row r="279">
      <c r="B279" s="53"/>
    </row>
    <row r="280">
      <c r="B280" s="53"/>
    </row>
    <row r="281">
      <c r="B281" s="53"/>
    </row>
    <row r="282">
      <c r="B282" s="53"/>
    </row>
    <row r="283">
      <c r="B283" s="53"/>
    </row>
    <row r="284">
      <c r="B284" s="53"/>
    </row>
    <row r="285">
      <c r="B285" s="53"/>
    </row>
    <row r="286">
      <c r="B286" s="53"/>
    </row>
    <row r="287">
      <c r="B287" s="53"/>
    </row>
    <row r="288">
      <c r="B288" s="53"/>
    </row>
    <row r="289">
      <c r="B289" s="53"/>
    </row>
    <row r="290">
      <c r="B290" s="53"/>
    </row>
    <row r="291">
      <c r="B291" s="53"/>
    </row>
    <row r="292">
      <c r="B292" s="53"/>
    </row>
    <row r="293">
      <c r="B293" s="53"/>
    </row>
    <row r="294">
      <c r="B294" s="53"/>
    </row>
    <row r="295">
      <c r="B295" s="53"/>
    </row>
    <row r="296">
      <c r="B296" s="53"/>
    </row>
    <row r="297">
      <c r="B297" s="53"/>
    </row>
    <row r="298">
      <c r="B298" s="53"/>
    </row>
    <row r="299">
      <c r="B299" s="53"/>
    </row>
    <row r="300">
      <c r="B300" s="53"/>
    </row>
    <row r="301">
      <c r="B301" s="53"/>
    </row>
    <row r="302">
      <c r="B302" s="53"/>
    </row>
    <row r="303">
      <c r="B303" s="53"/>
    </row>
    <row r="304">
      <c r="B304" s="53"/>
    </row>
    <row r="305">
      <c r="B305" s="53"/>
    </row>
    <row r="306">
      <c r="B306" s="53"/>
    </row>
    <row r="307">
      <c r="B307" s="53"/>
    </row>
    <row r="308">
      <c r="B308" s="53"/>
    </row>
    <row r="309">
      <c r="B309" s="53"/>
    </row>
    <row r="310">
      <c r="B310" s="53"/>
    </row>
    <row r="311">
      <c r="B311" s="53"/>
    </row>
    <row r="312">
      <c r="B312" s="53"/>
    </row>
    <row r="313">
      <c r="B313" s="53"/>
    </row>
    <row r="314">
      <c r="B314" s="53"/>
    </row>
    <row r="315">
      <c r="B315" s="53"/>
    </row>
    <row r="316">
      <c r="B316" s="53"/>
    </row>
    <row r="317">
      <c r="B317" s="53"/>
    </row>
    <row r="318">
      <c r="B318" s="53"/>
    </row>
    <row r="319">
      <c r="B319" s="53"/>
    </row>
    <row r="320">
      <c r="B320" s="53"/>
    </row>
    <row r="321">
      <c r="B321" s="53"/>
    </row>
    <row r="322">
      <c r="B322" s="53"/>
    </row>
    <row r="323">
      <c r="B323" s="53"/>
    </row>
    <row r="324">
      <c r="B324" s="53"/>
    </row>
    <row r="325">
      <c r="B325" s="53"/>
    </row>
    <row r="326">
      <c r="B326" s="53"/>
    </row>
    <row r="327">
      <c r="B327" s="53"/>
    </row>
    <row r="328">
      <c r="B328" s="53"/>
    </row>
    <row r="329">
      <c r="B329" s="53"/>
    </row>
    <row r="330">
      <c r="B330" s="53"/>
    </row>
    <row r="331">
      <c r="B331" s="53"/>
    </row>
    <row r="332">
      <c r="B332" s="53"/>
    </row>
    <row r="333">
      <c r="B333" s="53"/>
    </row>
    <row r="334">
      <c r="B334" s="53"/>
    </row>
    <row r="335">
      <c r="B335" s="53"/>
    </row>
    <row r="336">
      <c r="B336" s="53"/>
    </row>
    <row r="337">
      <c r="B337" s="53"/>
    </row>
    <row r="338">
      <c r="B338" s="53"/>
    </row>
    <row r="339">
      <c r="B339" s="53"/>
    </row>
    <row r="340">
      <c r="B340" s="53"/>
    </row>
    <row r="341">
      <c r="B341" s="53"/>
    </row>
    <row r="342">
      <c r="B342" s="53"/>
    </row>
    <row r="343">
      <c r="B343" s="53"/>
    </row>
    <row r="344">
      <c r="B344" s="53"/>
    </row>
    <row r="345">
      <c r="B345" s="53"/>
    </row>
    <row r="346">
      <c r="B346" s="53"/>
    </row>
    <row r="347">
      <c r="B347" s="53"/>
    </row>
    <row r="348">
      <c r="B348" s="53"/>
    </row>
    <row r="349">
      <c r="B349" s="53"/>
    </row>
    <row r="350">
      <c r="B350" s="53"/>
    </row>
    <row r="351">
      <c r="B351" s="53"/>
    </row>
    <row r="352">
      <c r="B352" s="53"/>
    </row>
    <row r="353">
      <c r="B353" s="53"/>
    </row>
    <row r="354">
      <c r="B354" s="53"/>
    </row>
    <row r="355">
      <c r="B355" s="53"/>
    </row>
    <row r="356">
      <c r="B356" s="53"/>
    </row>
    <row r="357">
      <c r="B357" s="53"/>
    </row>
    <row r="358">
      <c r="B358" s="53"/>
    </row>
    <row r="359">
      <c r="B359" s="53"/>
    </row>
    <row r="360">
      <c r="B360" s="53"/>
    </row>
    <row r="361">
      <c r="B361" s="53"/>
    </row>
    <row r="362">
      <c r="B362" s="53"/>
    </row>
    <row r="363">
      <c r="B363" s="53"/>
    </row>
    <row r="364">
      <c r="B364" s="53"/>
    </row>
    <row r="365">
      <c r="B365" s="53"/>
    </row>
    <row r="366">
      <c r="B366" s="53"/>
    </row>
    <row r="367">
      <c r="B367" s="53"/>
    </row>
    <row r="368">
      <c r="B368" s="53"/>
    </row>
    <row r="369">
      <c r="B369" s="53"/>
    </row>
    <row r="370">
      <c r="B370" s="53"/>
    </row>
    <row r="371">
      <c r="B371" s="53"/>
    </row>
    <row r="372">
      <c r="B372" s="53"/>
    </row>
    <row r="373">
      <c r="B373" s="53"/>
    </row>
    <row r="374">
      <c r="B374" s="53"/>
    </row>
    <row r="375">
      <c r="B375" s="53"/>
    </row>
    <row r="376">
      <c r="B376" s="53"/>
    </row>
    <row r="377">
      <c r="B377" s="53"/>
    </row>
    <row r="378">
      <c r="B378" s="53"/>
    </row>
    <row r="379">
      <c r="B379" s="53"/>
    </row>
    <row r="380">
      <c r="B380" s="53"/>
    </row>
    <row r="381">
      <c r="B381" s="53"/>
    </row>
    <row r="382">
      <c r="B382" s="53"/>
    </row>
    <row r="383">
      <c r="B383" s="53"/>
    </row>
    <row r="384">
      <c r="B384" s="53"/>
    </row>
    <row r="385">
      <c r="B385" s="53"/>
    </row>
    <row r="386">
      <c r="B386" s="53"/>
    </row>
    <row r="387">
      <c r="B387" s="53"/>
    </row>
    <row r="388">
      <c r="B388" s="53"/>
    </row>
    <row r="389">
      <c r="B389" s="53"/>
    </row>
    <row r="390">
      <c r="B390" s="53"/>
    </row>
    <row r="391">
      <c r="B391" s="53"/>
    </row>
    <row r="392">
      <c r="B392" s="53"/>
    </row>
    <row r="393">
      <c r="B393" s="53"/>
    </row>
    <row r="394">
      <c r="B394" s="53"/>
    </row>
    <row r="395">
      <c r="B395" s="53"/>
    </row>
    <row r="396">
      <c r="B396" s="53"/>
    </row>
    <row r="397">
      <c r="B397" s="53"/>
    </row>
    <row r="398">
      <c r="B398" s="53"/>
    </row>
    <row r="399">
      <c r="B399" s="53"/>
    </row>
    <row r="400">
      <c r="B400" s="53"/>
    </row>
    <row r="401">
      <c r="B401" s="53"/>
    </row>
    <row r="402">
      <c r="B402" s="53"/>
    </row>
    <row r="403">
      <c r="B403" s="53"/>
    </row>
    <row r="404">
      <c r="B404" s="53"/>
    </row>
    <row r="405">
      <c r="B405" s="53"/>
    </row>
    <row r="406">
      <c r="B406" s="53"/>
    </row>
    <row r="407">
      <c r="B407" s="53"/>
    </row>
    <row r="408">
      <c r="B408" s="53"/>
    </row>
    <row r="409">
      <c r="B409" s="53"/>
    </row>
    <row r="410">
      <c r="B410" s="53"/>
    </row>
    <row r="411">
      <c r="B411" s="53"/>
    </row>
    <row r="412">
      <c r="B412" s="53"/>
    </row>
    <row r="413">
      <c r="B413" s="53"/>
    </row>
    <row r="414">
      <c r="B414" s="53"/>
    </row>
    <row r="415">
      <c r="B415" s="53"/>
    </row>
    <row r="416">
      <c r="B416" s="53"/>
    </row>
    <row r="417">
      <c r="B417" s="53"/>
    </row>
    <row r="418">
      <c r="B418" s="53"/>
    </row>
    <row r="419">
      <c r="B419" s="53"/>
    </row>
    <row r="420">
      <c r="B420" s="53"/>
    </row>
    <row r="421">
      <c r="B421" s="53"/>
    </row>
    <row r="422">
      <c r="B422" s="53"/>
    </row>
    <row r="423">
      <c r="B423" s="53"/>
    </row>
    <row r="424">
      <c r="B424" s="53"/>
    </row>
    <row r="425">
      <c r="B425" s="53"/>
    </row>
    <row r="426">
      <c r="B426" s="53"/>
    </row>
    <row r="427">
      <c r="B427" s="53"/>
    </row>
    <row r="428">
      <c r="B428" s="53"/>
    </row>
    <row r="429">
      <c r="B429" s="53"/>
    </row>
    <row r="430">
      <c r="B430" s="53"/>
    </row>
    <row r="431">
      <c r="B431" s="53"/>
    </row>
    <row r="432">
      <c r="B432" s="53"/>
    </row>
    <row r="433">
      <c r="B433" s="53"/>
    </row>
    <row r="434">
      <c r="B434" s="53"/>
    </row>
    <row r="435">
      <c r="B435" s="53"/>
    </row>
    <row r="436">
      <c r="B436" s="53"/>
    </row>
    <row r="437">
      <c r="B437" s="53"/>
    </row>
    <row r="438">
      <c r="B438" s="53"/>
    </row>
    <row r="439">
      <c r="B439" s="53"/>
    </row>
    <row r="440">
      <c r="B440" s="53"/>
    </row>
    <row r="441">
      <c r="B441" s="53"/>
    </row>
    <row r="442">
      <c r="B442" s="53"/>
    </row>
    <row r="443">
      <c r="B443" s="53"/>
    </row>
    <row r="444">
      <c r="B444" s="53"/>
    </row>
    <row r="445">
      <c r="B445" s="53"/>
    </row>
    <row r="446">
      <c r="B446" s="53"/>
    </row>
    <row r="447">
      <c r="B447" s="53"/>
    </row>
    <row r="448">
      <c r="B448" s="53"/>
    </row>
    <row r="449">
      <c r="B449" s="53"/>
    </row>
    <row r="450">
      <c r="B450" s="53"/>
    </row>
    <row r="451">
      <c r="B451" s="53"/>
    </row>
    <row r="452">
      <c r="B452" s="53"/>
    </row>
    <row r="453">
      <c r="B453" s="53"/>
    </row>
    <row r="454">
      <c r="B454" s="53"/>
    </row>
    <row r="455">
      <c r="B455" s="53"/>
    </row>
    <row r="456">
      <c r="B456" s="53"/>
    </row>
    <row r="457">
      <c r="B457" s="53"/>
    </row>
    <row r="458">
      <c r="B458" s="53"/>
    </row>
    <row r="459">
      <c r="B459" s="53"/>
    </row>
    <row r="460">
      <c r="B460" s="53"/>
    </row>
    <row r="461">
      <c r="B461" s="53"/>
    </row>
    <row r="462">
      <c r="B462" s="53"/>
    </row>
    <row r="463">
      <c r="B463" s="53"/>
    </row>
    <row r="464">
      <c r="B464" s="53"/>
    </row>
    <row r="465">
      <c r="B465" s="53"/>
    </row>
    <row r="466">
      <c r="B466" s="53"/>
    </row>
    <row r="467">
      <c r="B467" s="53"/>
    </row>
    <row r="468">
      <c r="B468" s="53"/>
    </row>
    <row r="469">
      <c r="B469" s="53"/>
    </row>
    <row r="470">
      <c r="B470" s="53"/>
    </row>
    <row r="471">
      <c r="B471" s="53"/>
    </row>
    <row r="472">
      <c r="B472" s="53"/>
    </row>
    <row r="473">
      <c r="B473" s="53"/>
    </row>
    <row r="474">
      <c r="B474" s="53"/>
    </row>
    <row r="475">
      <c r="B475" s="53"/>
    </row>
    <row r="476">
      <c r="B476" s="53"/>
    </row>
    <row r="477">
      <c r="B477" s="53"/>
    </row>
    <row r="478">
      <c r="B478" s="53"/>
    </row>
    <row r="479">
      <c r="B479" s="53"/>
    </row>
    <row r="480">
      <c r="B480" s="53"/>
    </row>
    <row r="481">
      <c r="B481" s="53"/>
    </row>
    <row r="482">
      <c r="B482" s="53"/>
    </row>
    <row r="483">
      <c r="B483" s="53"/>
    </row>
    <row r="484">
      <c r="B484" s="53"/>
    </row>
    <row r="485">
      <c r="B485" s="53"/>
    </row>
    <row r="486">
      <c r="B486" s="53"/>
    </row>
    <row r="487">
      <c r="B487" s="53"/>
    </row>
    <row r="488">
      <c r="B488" s="53"/>
    </row>
    <row r="489">
      <c r="B489" s="53"/>
    </row>
    <row r="490">
      <c r="B490" s="53"/>
    </row>
    <row r="491">
      <c r="B491" s="53"/>
    </row>
    <row r="492">
      <c r="B492" s="53"/>
    </row>
    <row r="493">
      <c r="B493" s="53"/>
    </row>
    <row r="494">
      <c r="B494" s="53"/>
    </row>
    <row r="495">
      <c r="B495" s="53"/>
    </row>
    <row r="496">
      <c r="B496" s="53"/>
    </row>
    <row r="497">
      <c r="B497" s="53"/>
    </row>
    <row r="498">
      <c r="B498" s="53"/>
    </row>
    <row r="499">
      <c r="B499" s="53"/>
    </row>
    <row r="500">
      <c r="B500" s="53"/>
    </row>
    <row r="501">
      <c r="B501" s="53"/>
    </row>
    <row r="502">
      <c r="B502" s="53"/>
    </row>
    <row r="503">
      <c r="B503" s="53"/>
    </row>
    <row r="504">
      <c r="B504" s="53"/>
    </row>
    <row r="505">
      <c r="B505" s="53"/>
    </row>
    <row r="506">
      <c r="B506" s="53"/>
    </row>
    <row r="507">
      <c r="B507" s="53"/>
    </row>
    <row r="508">
      <c r="B508" s="53"/>
    </row>
    <row r="509">
      <c r="B509" s="53"/>
    </row>
    <row r="510">
      <c r="B510" s="53"/>
    </row>
    <row r="511">
      <c r="B511" s="53"/>
    </row>
    <row r="512">
      <c r="B512" s="53"/>
    </row>
    <row r="513">
      <c r="B513" s="53"/>
    </row>
    <row r="514">
      <c r="B514" s="53"/>
    </row>
    <row r="515">
      <c r="B515" s="53"/>
    </row>
    <row r="516">
      <c r="B516" s="53"/>
    </row>
    <row r="517">
      <c r="B517" s="53"/>
    </row>
    <row r="518">
      <c r="B518" s="53"/>
    </row>
    <row r="519">
      <c r="B519" s="53"/>
    </row>
    <row r="520">
      <c r="B520" s="53"/>
    </row>
    <row r="521">
      <c r="B521" s="53"/>
    </row>
    <row r="522">
      <c r="B522" s="53"/>
    </row>
    <row r="523">
      <c r="B523" s="53"/>
    </row>
    <row r="524">
      <c r="B524" s="53"/>
    </row>
    <row r="525">
      <c r="B525" s="53"/>
    </row>
    <row r="526">
      <c r="B526" s="53"/>
    </row>
    <row r="527">
      <c r="B527" s="53"/>
    </row>
    <row r="528">
      <c r="B528" s="53"/>
    </row>
    <row r="529">
      <c r="B529" s="53"/>
    </row>
    <row r="530">
      <c r="B530" s="53"/>
    </row>
    <row r="531">
      <c r="B531" s="53"/>
    </row>
    <row r="532">
      <c r="B532" s="53"/>
    </row>
    <row r="533">
      <c r="B533" s="53"/>
    </row>
    <row r="534">
      <c r="B534" s="53"/>
    </row>
    <row r="535">
      <c r="B535" s="53"/>
    </row>
    <row r="536">
      <c r="B536" s="53"/>
    </row>
    <row r="537">
      <c r="B537" s="53"/>
    </row>
    <row r="538">
      <c r="B538" s="53"/>
    </row>
    <row r="539">
      <c r="B539" s="53"/>
    </row>
    <row r="540">
      <c r="B540" s="53"/>
    </row>
    <row r="541">
      <c r="B541" s="53"/>
    </row>
    <row r="542">
      <c r="B542" s="53"/>
    </row>
    <row r="543">
      <c r="B543" s="53"/>
    </row>
    <row r="544">
      <c r="B544" s="53"/>
    </row>
    <row r="545">
      <c r="B545" s="53"/>
    </row>
    <row r="546">
      <c r="B546" s="53"/>
    </row>
    <row r="547">
      <c r="B547" s="53"/>
    </row>
    <row r="548">
      <c r="B548" s="53"/>
    </row>
    <row r="549">
      <c r="B549" s="53"/>
    </row>
    <row r="550">
      <c r="B550" s="53"/>
    </row>
    <row r="551">
      <c r="B551" s="53"/>
    </row>
    <row r="552">
      <c r="B552" s="53"/>
    </row>
    <row r="553">
      <c r="B553" s="53"/>
    </row>
    <row r="554">
      <c r="B554" s="53"/>
    </row>
    <row r="555">
      <c r="B555" s="53"/>
    </row>
    <row r="556">
      <c r="B556" s="53"/>
    </row>
    <row r="557">
      <c r="B557" s="53"/>
    </row>
    <row r="558">
      <c r="B558" s="53"/>
    </row>
    <row r="559">
      <c r="B559" s="53"/>
    </row>
    <row r="560">
      <c r="B560" s="53"/>
    </row>
    <row r="561">
      <c r="B561" s="53"/>
    </row>
    <row r="562">
      <c r="B562" s="53"/>
    </row>
    <row r="563">
      <c r="B563" s="53"/>
    </row>
    <row r="564">
      <c r="B564" s="53"/>
    </row>
    <row r="565">
      <c r="B565" s="53"/>
    </row>
    <row r="566">
      <c r="B566" s="53"/>
    </row>
    <row r="567">
      <c r="B567" s="53"/>
    </row>
    <row r="568">
      <c r="B568" s="53"/>
    </row>
    <row r="569">
      <c r="B569" s="53"/>
    </row>
    <row r="570">
      <c r="B570" s="53"/>
    </row>
    <row r="571">
      <c r="B571" s="53"/>
    </row>
    <row r="572">
      <c r="B572" s="53"/>
    </row>
    <row r="573">
      <c r="B573" s="53"/>
    </row>
    <row r="574">
      <c r="B574" s="53"/>
    </row>
    <row r="575">
      <c r="B575" s="53"/>
    </row>
    <row r="576">
      <c r="B576" s="53"/>
    </row>
    <row r="577">
      <c r="B577" s="53"/>
    </row>
    <row r="578">
      <c r="B578" s="53"/>
    </row>
    <row r="579">
      <c r="B579" s="53"/>
    </row>
    <row r="580">
      <c r="B580" s="53"/>
    </row>
    <row r="581">
      <c r="B581" s="53"/>
    </row>
    <row r="582">
      <c r="B582" s="53"/>
    </row>
    <row r="583">
      <c r="B583" s="53"/>
    </row>
    <row r="584">
      <c r="B584" s="53"/>
    </row>
    <row r="585">
      <c r="B585" s="53"/>
    </row>
    <row r="586">
      <c r="B586" s="53"/>
    </row>
    <row r="587">
      <c r="B587" s="53"/>
    </row>
    <row r="588">
      <c r="B588" s="53"/>
    </row>
    <row r="589">
      <c r="B589" s="53"/>
    </row>
    <row r="590">
      <c r="B590" s="53"/>
    </row>
    <row r="591">
      <c r="B591" s="53"/>
    </row>
    <row r="592">
      <c r="B592" s="53"/>
    </row>
    <row r="593">
      <c r="B593" s="53"/>
    </row>
    <row r="594">
      <c r="B594" s="53"/>
    </row>
    <row r="595">
      <c r="B595" s="53"/>
    </row>
    <row r="596">
      <c r="B596" s="53"/>
    </row>
    <row r="597">
      <c r="B597" s="53"/>
    </row>
    <row r="598">
      <c r="B598" s="53"/>
    </row>
    <row r="599">
      <c r="B599" s="53"/>
    </row>
    <row r="600">
      <c r="B600" s="53"/>
    </row>
    <row r="601">
      <c r="B601" s="53"/>
    </row>
    <row r="602">
      <c r="B602" s="53"/>
    </row>
    <row r="603">
      <c r="B603" s="53"/>
    </row>
    <row r="604">
      <c r="B604" s="53"/>
    </row>
    <row r="605">
      <c r="B605" s="53"/>
    </row>
    <row r="606">
      <c r="B606" s="53"/>
    </row>
    <row r="607">
      <c r="B607" s="53"/>
    </row>
    <row r="608">
      <c r="B608" s="53"/>
    </row>
    <row r="609">
      <c r="B609" s="53"/>
    </row>
    <row r="610">
      <c r="B610" s="53"/>
    </row>
    <row r="611">
      <c r="B611" s="53"/>
    </row>
    <row r="612">
      <c r="B612" s="53"/>
    </row>
    <row r="613">
      <c r="B613" s="53"/>
    </row>
    <row r="614">
      <c r="B614" s="53"/>
    </row>
    <row r="615">
      <c r="B615" s="53"/>
    </row>
    <row r="616">
      <c r="B616" s="53"/>
    </row>
    <row r="617">
      <c r="B617" s="53"/>
    </row>
    <row r="618">
      <c r="B618" s="53"/>
    </row>
    <row r="619">
      <c r="B619" s="53"/>
    </row>
    <row r="620">
      <c r="B620" s="53"/>
    </row>
    <row r="621">
      <c r="B621" s="53"/>
    </row>
    <row r="622">
      <c r="B622" s="53"/>
    </row>
    <row r="623">
      <c r="B623" s="53"/>
    </row>
    <row r="624">
      <c r="B624" s="53"/>
    </row>
    <row r="625">
      <c r="B625" s="53"/>
    </row>
    <row r="626">
      <c r="B626" s="53"/>
    </row>
    <row r="627">
      <c r="B627" s="53"/>
    </row>
    <row r="628">
      <c r="B628" s="53"/>
    </row>
    <row r="629">
      <c r="B629" s="53"/>
    </row>
    <row r="630">
      <c r="B630" s="53"/>
    </row>
    <row r="631">
      <c r="B631" s="53"/>
    </row>
    <row r="632">
      <c r="B632" s="53"/>
    </row>
    <row r="633">
      <c r="B633" s="53"/>
    </row>
    <row r="634">
      <c r="B634" s="53"/>
    </row>
    <row r="635">
      <c r="B635" s="53"/>
    </row>
    <row r="636">
      <c r="B636" s="53"/>
    </row>
    <row r="637">
      <c r="B637" s="53"/>
    </row>
    <row r="638">
      <c r="B638" s="53"/>
    </row>
    <row r="639">
      <c r="B639" s="53"/>
    </row>
    <row r="640">
      <c r="B640" s="53"/>
    </row>
    <row r="641">
      <c r="B641" s="53"/>
    </row>
    <row r="642">
      <c r="B642" s="53"/>
    </row>
    <row r="643">
      <c r="B643" s="53"/>
    </row>
    <row r="644">
      <c r="B644" s="53"/>
    </row>
    <row r="645">
      <c r="B645" s="53"/>
    </row>
    <row r="646">
      <c r="B646" s="53"/>
    </row>
    <row r="647">
      <c r="B647" s="53"/>
    </row>
    <row r="648">
      <c r="B648" s="53"/>
    </row>
    <row r="649">
      <c r="B649" s="53"/>
    </row>
    <row r="650">
      <c r="B650" s="53"/>
    </row>
    <row r="651">
      <c r="B651" s="53"/>
    </row>
    <row r="652">
      <c r="B652" s="53"/>
    </row>
    <row r="653">
      <c r="B653" s="53"/>
    </row>
    <row r="654">
      <c r="B654" s="53"/>
    </row>
    <row r="655">
      <c r="B655" s="53"/>
    </row>
    <row r="656">
      <c r="B656" s="53"/>
    </row>
    <row r="657">
      <c r="B657" s="53"/>
    </row>
    <row r="658">
      <c r="B658" s="53"/>
    </row>
    <row r="659">
      <c r="B659" s="53"/>
    </row>
    <row r="660">
      <c r="B660" s="53"/>
    </row>
    <row r="661">
      <c r="B661" s="53"/>
    </row>
    <row r="662">
      <c r="B662" s="53"/>
    </row>
    <row r="663">
      <c r="B663" s="53"/>
    </row>
    <row r="664">
      <c r="B664" s="53"/>
    </row>
    <row r="665">
      <c r="B665" s="53"/>
    </row>
    <row r="666">
      <c r="B666" s="53"/>
    </row>
    <row r="667">
      <c r="B667" s="53"/>
    </row>
    <row r="668">
      <c r="B668" s="53"/>
    </row>
    <row r="669">
      <c r="B669" s="53"/>
    </row>
    <row r="670">
      <c r="B670" s="53"/>
    </row>
    <row r="671">
      <c r="B671" s="53"/>
    </row>
    <row r="672">
      <c r="B672" s="53"/>
    </row>
    <row r="673">
      <c r="B673" s="53"/>
    </row>
    <row r="674">
      <c r="B674" s="53"/>
    </row>
    <row r="675">
      <c r="B675" s="53"/>
    </row>
    <row r="676">
      <c r="B676" s="53"/>
    </row>
    <row r="677">
      <c r="B677" s="53"/>
    </row>
    <row r="678">
      <c r="B678" s="53"/>
    </row>
    <row r="679">
      <c r="B679" s="53"/>
    </row>
    <row r="680">
      <c r="B680" s="53"/>
    </row>
    <row r="681">
      <c r="B681" s="53"/>
    </row>
    <row r="682">
      <c r="B682" s="53"/>
    </row>
    <row r="683">
      <c r="B683" s="53"/>
    </row>
    <row r="684">
      <c r="B684" s="53"/>
    </row>
    <row r="685">
      <c r="B685" s="53"/>
    </row>
    <row r="686">
      <c r="B686" s="53"/>
    </row>
    <row r="687">
      <c r="B687" s="53"/>
    </row>
    <row r="688">
      <c r="B688" s="53"/>
    </row>
    <row r="689">
      <c r="B689" s="53"/>
    </row>
    <row r="690">
      <c r="B690" s="53"/>
    </row>
    <row r="691">
      <c r="B691" s="53"/>
    </row>
    <row r="692">
      <c r="B692" s="53"/>
    </row>
    <row r="693">
      <c r="B693" s="53"/>
    </row>
    <row r="694">
      <c r="B694" s="53"/>
    </row>
    <row r="695">
      <c r="B695" s="53"/>
    </row>
    <row r="696">
      <c r="B696" s="53"/>
    </row>
    <row r="697">
      <c r="B697" s="53"/>
    </row>
    <row r="698">
      <c r="B698" s="53"/>
    </row>
    <row r="699">
      <c r="B699" s="53"/>
    </row>
    <row r="700">
      <c r="B700" s="53"/>
    </row>
    <row r="701">
      <c r="B701" s="53"/>
    </row>
    <row r="702">
      <c r="B702" s="53"/>
    </row>
    <row r="703">
      <c r="B703" s="53"/>
    </row>
    <row r="704">
      <c r="B704" s="53"/>
    </row>
    <row r="705">
      <c r="B705" s="53"/>
    </row>
    <row r="706">
      <c r="B706" s="53"/>
    </row>
    <row r="707">
      <c r="B707" s="53"/>
    </row>
    <row r="708">
      <c r="B708" s="53"/>
    </row>
    <row r="709">
      <c r="B709" s="53"/>
    </row>
    <row r="710">
      <c r="B710" s="53"/>
    </row>
    <row r="711">
      <c r="B711" s="53"/>
    </row>
    <row r="712">
      <c r="B712" s="53"/>
    </row>
    <row r="713">
      <c r="B713" s="53"/>
    </row>
    <row r="714">
      <c r="B714" s="53"/>
    </row>
    <row r="715">
      <c r="B715" s="53"/>
    </row>
    <row r="716">
      <c r="B716" s="53"/>
    </row>
    <row r="717">
      <c r="B717" s="53"/>
    </row>
    <row r="718">
      <c r="B718" s="53"/>
    </row>
    <row r="719">
      <c r="B719" s="53"/>
    </row>
    <row r="720">
      <c r="B720" s="53"/>
    </row>
    <row r="721">
      <c r="B721" s="53"/>
    </row>
    <row r="722">
      <c r="B722" s="53"/>
    </row>
    <row r="723">
      <c r="B723" s="53"/>
    </row>
    <row r="724">
      <c r="B724" s="53"/>
    </row>
    <row r="725">
      <c r="B725" s="53"/>
    </row>
    <row r="726">
      <c r="B726" s="53"/>
    </row>
    <row r="727">
      <c r="B727" s="53"/>
    </row>
    <row r="728">
      <c r="B728" s="53"/>
    </row>
    <row r="729">
      <c r="B729" s="53"/>
    </row>
    <row r="730">
      <c r="B730" s="53"/>
    </row>
    <row r="731">
      <c r="B731" s="53"/>
    </row>
    <row r="732">
      <c r="B732" s="53"/>
    </row>
    <row r="733">
      <c r="B733" s="53"/>
    </row>
    <row r="734">
      <c r="B734" s="53"/>
    </row>
    <row r="735">
      <c r="B735" s="53"/>
    </row>
    <row r="736">
      <c r="B736" s="53"/>
    </row>
    <row r="737">
      <c r="B737" s="53"/>
    </row>
    <row r="738">
      <c r="B738" s="53"/>
    </row>
    <row r="739">
      <c r="B739" s="53"/>
    </row>
    <row r="740">
      <c r="B740" s="53"/>
    </row>
    <row r="741">
      <c r="B741" s="53"/>
    </row>
    <row r="742">
      <c r="B742" s="53"/>
    </row>
    <row r="743">
      <c r="B743" s="53"/>
    </row>
    <row r="744">
      <c r="B744" s="53"/>
    </row>
    <row r="745">
      <c r="B745" s="53"/>
    </row>
    <row r="746">
      <c r="B746" s="53"/>
    </row>
    <row r="747">
      <c r="B747" s="53"/>
    </row>
    <row r="748">
      <c r="B748" s="53"/>
    </row>
    <row r="749">
      <c r="B749" s="53"/>
    </row>
    <row r="750">
      <c r="B750" s="53"/>
    </row>
    <row r="751">
      <c r="B751" s="53"/>
    </row>
    <row r="752">
      <c r="B752" s="53"/>
    </row>
    <row r="753">
      <c r="B753" s="53"/>
    </row>
    <row r="754">
      <c r="B754" s="53"/>
    </row>
    <row r="755">
      <c r="B755" s="53"/>
    </row>
    <row r="756">
      <c r="B756" s="53"/>
    </row>
    <row r="757">
      <c r="B757" s="53"/>
    </row>
    <row r="758">
      <c r="B758" s="53"/>
    </row>
    <row r="759">
      <c r="B759" s="53"/>
    </row>
    <row r="760">
      <c r="B760" s="53"/>
    </row>
    <row r="761">
      <c r="B761" s="53"/>
    </row>
    <row r="762">
      <c r="B762" s="53"/>
    </row>
    <row r="763">
      <c r="B763" s="53"/>
    </row>
    <row r="764">
      <c r="B764" s="53"/>
    </row>
    <row r="765">
      <c r="B765" s="53"/>
    </row>
    <row r="766">
      <c r="B766" s="53"/>
    </row>
    <row r="767">
      <c r="B767" s="53"/>
    </row>
    <row r="768">
      <c r="B768" s="53"/>
    </row>
    <row r="769">
      <c r="B769" s="53"/>
    </row>
    <row r="770">
      <c r="B770" s="53"/>
    </row>
    <row r="771">
      <c r="B771" s="53"/>
    </row>
    <row r="772">
      <c r="B772" s="53"/>
    </row>
    <row r="773">
      <c r="B773" s="53"/>
    </row>
    <row r="774">
      <c r="B774" s="53"/>
    </row>
    <row r="775">
      <c r="B775" s="53"/>
    </row>
    <row r="776">
      <c r="B776" s="53"/>
    </row>
    <row r="777">
      <c r="B777" s="53"/>
    </row>
    <row r="778">
      <c r="B778" s="53"/>
    </row>
    <row r="779">
      <c r="B779" s="53"/>
    </row>
    <row r="780">
      <c r="B780" s="53"/>
    </row>
    <row r="781">
      <c r="B781" s="53"/>
    </row>
    <row r="782">
      <c r="B782" s="53"/>
    </row>
    <row r="783">
      <c r="B783" s="53"/>
    </row>
    <row r="784">
      <c r="B784" s="53"/>
    </row>
    <row r="785">
      <c r="B785" s="53"/>
    </row>
    <row r="786">
      <c r="B786" s="53"/>
    </row>
    <row r="787">
      <c r="B787" s="53"/>
    </row>
    <row r="788">
      <c r="B788" s="53"/>
    </row>
    <row r="789">
      <c r="B789" s="53"/>
    </row>
    <row r="790">
      <c r="B790" s="53"/>
    </row>
    <row r="791">
      <c r="B791" s="53"/>
    </row>
    <row r="792">
      <c r="B792" s="53"/>
    </row>
    <row r="793">
      <c r="B793" s="53"/>
    </row>
    <row r="794">
      <c r="B794" s="53"/>
    </row>
    <row r="795">
      <c r="B795" s="53"/>
    </row>
    <row r="796">
      <c r="B796" s="53"/>
    </row>
    <row r="797">
      <c r="B797" s="53"/>
    </row>
    <row r="798">
      <c r="B798" s="53"/>
    </row>
    <row r="799">
      <c r="B799" s="53"/>
    </row>
    <row r="800">
      <c r="B800" s="53"/>
    </row>
    <row r="801">
      <c r="B801" s="53"/>
    </row>
    <row r="802">
      <c r="B802" s="53"/>
    </row>
    <row r="803">
      <c r="B803" s="53"/>
    </row>
    <row r="804">
      <c r="B804" s="53"/>
    </row>
    <row r="805">
      <c r="B805" s="53"/>
    </row>
    <row r="806">
      <c r="B806" s="53"/>
    </row>
    <row r="807">
      <c r="B807" s="53"/>
    </row>
    <row r="808">
      <c r="B808" s="53"/>
    </row>
    <row r="809">
      <c r="B809" s="53"/>
    </row>
    <row r="810">
      <c r="B810" s="53"/>
    </row>
    <row r="811">
      <c r="B811" s="53"/>
    </row>
    <row r="812">
      <c r="B812" s="53"/>
    </row>
    <row r="813">
      <c r="B813" s="53"/>
    </row>
    <row r="814">
      <c r="B814" s="53"/>
    </row>
    <row r="815">
      <c r="B815" s="53"/>
    </row>
    <row r="816">
      <c r="B816" s="53"/>
    </row>
    <row r="817">
      <c r="B817" s="53"/>
    </row>
    <row r="818">
      <c r="B818" s="53"/>
    </row>
    <row r="819">
      <c r="B819" s="53"/>
    </row>
    <row r="820">
      <c r="B820" s="53"/>
    </row>
    <row r="821">
      <c r="B821" s="53"/>
    </row>
    <row r="822">
      <c r="B822" s="53"/>
    </row>
    <row r="823">
      <c r="B823" s="53"/>
    </row>
    <row r="824">
      <c r="B824" s="53"/>
    </row>
    <row r="825">
      <c r="B825" s="53"/>
    </row>
    <row r="826">
      <c r="B826" s="53"/>
    </row>
    <row r="827">
      <c r="B827" s="53"/>
    </row>
    <row r="828">
      <c r="B828" s="53"/>
    </row>
    <row r="829">
      <c r="B829" s="53"/>
    </row>
    <row r="830">
      <c r="B830" s="53"/>
    </row>
    <row r="831">
      <c r="B831" s="53"/>
    </row>
    <row r="832">
      <c r="B832" s="53"/>
    </row>
    <row r="833">
      <c r="B833" s="53"/>
    </row>
    <row r="834">
      <c r="B834" s="53"/>
    </row>
    <row r="835">
      <c r="B835" s="53"/>
    </row>
    <row r="836">
      <c r="B836" s="53"/>
    </row>
    <row r="837">
      <c r="B837" s="53"/>
    </row>
    <row r="838">
      <c r="B838" s="53"/>
    </row>
    <row r="839">
      <c r="B839" s="53"/>
    </row>
    <row r="840">
      <c r="B840" s="53"/>
    </row>
    <row r="841">
      <c r="B841" s="53"/>
    </row>
    <row r="842">
      <c r="B842" s="53"/>
    </row>
    <row r="843">
      <c r="B843" s="53"/>
    </row>
    <row r="844">
      <c r="B844" s="53"/>
    </row>
    <row r="845">
      <c r="B845" s="53"/>
    </row>
    <row r="846">
      <c r="B846" s="53"/>
    </row>
    <row r="847">
      <c r="B847" s="53"/>
    </row>
    <row r="848">
      <c r="B848" s="53"/>
    </row>
    <row r="849">
      <c r="B849" s="53"/>
    </row>
    <row r="850">
      <c r="B850" s="53"/>
    </row>
    <row r="851">
      <c r="B851" s="53"/>
    </row>
    <row r="852">
      <c r="B852" s="53"/>
    </row>
    <row r="853">
      <c r="B853" s="53"/>
    </row>
    <row r="854">
      <c r="B854" s="53"/>
    </row>
    <row r="855">
      <c r="B855" s="53"/>
    </row>
    <row r="856">
      <c r="B856" s="53"/>
    </row>
    <row r="857">
      <c r="B857" s="53"/>
    </row>
    <row r="858">
      <c r="B858" s="53"/>
    </row>
    <row r="859">
      <c r="B859" s="53"/>
    </row>
    <row r="860">
      <c r="B860" s="53"/>
    </row>
    <row r="861">
      <c r="B861" s="53"/>
    </row>
    <row r="862">
      <c r="B862" s="53"/>
    </row>
    <row r="863">
      <c r="B863" s="53"/>
    </row>
    <row r="864">
      <c r="B864" s="53"/>
    </row>
    <row r="865">
      <c r="B865" s="53"/>
    </row>
    <row r="866">
      <c r="B866" s="53"/>
    </row>
    <row r="867">
      <c r="B867" s="53"/>
    </row>
    <row r="868">
      <c r="B868" s="53"/>
    </row>
    <row r="869">
      <c r="B869" s="53"/>
    </row>
    <row r="870">
      <c r="B870" s="53"/>
    </row>
    <row r="871">
      <c r="B871" s="53"/>
    </row>
    <row r="872">
      <c r="B872" s="53"/>
    </row>
    <row r="873">
      <c r="B873" s="53"/>
    </row>
    <row r="874">
      <c r="B874" s="53"/>
    </row>
    <row r="875">
      <c r="B875" s="53"/>
    </row>
    <row r="876">
      <c r="B876" s="53"/>
    </row>
    <row r="877">
      <c r="B877" s="53"/>
    </row>
    <row r="878">
      <c r="B878" s="53"/>
    </row>
    <row r="879">
      <c r="B879" s="53"/>
    </row>
    <row r="880">
      <c r="B880" s="53"/>
    </row>
    <row r="881">
      <c r="B881" s="53"/>
    </row>
    <row r="882">
      <c r="B882" s="53"/>
    </row>
    <row r="883">
      <c r="B883" s="53"/>
    </row>
    <row r="884">
      <c r="B884" s="53"/>
    </row>
    <row r="885">
      <c r="B885" s="53"/>
    </row>
    <row r="886">
      <c r="B886" s="53"/>
    </row>
    <row r="887">
      <c r="B887" s="53"/>
    </row>
    <row r="888">
      <c r="B888" s="53"/>
    </row>
    <row r="889">
      <c r="B889" s="53"/>
    </row>
    <row r="890">
      <c r="B890" s="53"/>
    </row>
    <row r="891">
      <c r="B891" s="53"/>
    </row>
    <row r="892">
      <c r="B892" s="53"/>
    </row>
    <row r="893">
      <c r="B893" s="53"/>
    </row>
    <row r="894">
      <c r="B894" s="53"/>
    </row>
    <row r="895">
      <c r="B895" s="53"/>
    </row>
    <row r="896">
      <c r="B896" s="53"/>
    </row>
    <row r="897">
      <c r="B897" s="53"/>
    </row>
    <row r="898">
      <c r="B898" s="53"/>
    </row>
    <row r="899">
      <c r="B899" s="53"/>
    </row>
    <row r="900">
      <c r="B900" s="53"/>
    </row>
    <row r="901">
      <c r="B901" s="53"/>
    </row>
    <row r="902">
      <c r="B902" s="53"/>
    </row>
    <row r="903">
      <c r="B903" s="53"/>
    </row>
    <row r="904">
      <c r="B904" s="53"/>
    </row>
    <row r="905">
      <c r="B905" s="53"/>
    </row>
    <row r="906">
      <c r="B906" s="53"/>
    </row>
    <row r="907">
      <c r="B907" s="53"/>
    </row>
    <row r="908">
      <c r="B908" s="53"/>
    </row>
    <row r="909">
      <c r="B909" s="53"/>
    </row>
    <row r="910">
      <c r="B910" s="53"/>
    </row>
    <row r="911">
      <c r="B911" s="53"/>
    </row>
    <row r="912">
      <c r="B912" s="53"/>
    </row>
    <row r="913">
      <c r="B913" s="53"/>
    </row>
    <row r="914">
      <c r="B914" s="53"/>
    </row>
    <row r="915">
      <c r="B915" s="53"/>
    </row>
    <row r="916">
      <c r="B916" s="53"/>
    </row>
    <row r="917">
      <c r="B917" s="53"/>
    </row>
    <row r="918">
      <c r="B918" s="53"/>
    </row>
    <row r="919">
      <c r="B919" s="53"/>
    </row>
    <row r="920">
      <c r="B920" s="53"/>
    </row>
    <row r="921">
      <c r="B921" s="53"/>
    </row>
    <row r="922">
      <c r="B922" s="53"/>
    </row>
    <row r="923">
      <c r="B923" s="53"/>
    </row>
    <row r="924">
      <c r="B924" s="53"/>
    </row>
    <row r="925">
      <c r="B925" s="53"/>
    </row>
    <row r="926">
      <c r="B926" s="53"/>
    </row>
    <row r="927">
      <c r="B927" s="53"/>
    </row>
    <row r="928">
      <c r="B928" s="53"/>
    </row>
    <row r="929">
      <c r="B929" s="53"/>
    </row>
    <row r="930">
      <c r="B930" s="53"/>
    </row>
    <row r="931">
      <c r="B931" s="53"/>
    </row>
    <row r="932">
      <c r="B932" s="53"/>
    </row>
    <row r="933">
      <c r="B933" s="53"/>
    </row>
    <row r="934">
      <c r="B934" s="53"/>
    </row>
    <row r="935">
      <c r="B935" s="53"/>
    </row>
    <row r="936">
      <c r="B936" s="53"/>
    </row>
    <row r="937">
      <c r="B937" s="53"/>
    </row>
    <row r="938">
      <c r="B938" s="53"/>
    </row>
    <row r="939">
      <c r="B939" s="53"/>
    </row>
    <row r="940">
      <c r="B940" s="53"/>
    </row>
    <row r="941">
      <c r="B941" s="53"/>
    </row>
    <row r="942">
      <c r="B942" s="53"/>
    </row>
    <row r="943">
      <c r="B943" s="53"/>
    </row>
    <row r="944">
      <c r="B944" s="53"/>
    </row>
    <row r="945">
      <c r="B945" s="53"/>
    </row>
    <row r="946">
      <c r="B946" s="53"/>
    </row>
    <row r="947">
      <c r="B947" s="53"/>
    </row>
    <row r="948">
      <c r="B948" s="53"/>
    </row>
    <row r="949">
      <c r="B949" s="53"/>
    </row>
    <row r="950">
      <c r="B950" s="53"/>
    </row>
    <row r="951">
      <c r="B951" s="53"/>
    </row>
    <row r="952">
      <c r="B952" s="53"/>
    </row>
    <row r="953">
      <c r="B953" s="53"/>
    </row>
    <row r="954">
      <c r="B954" s="53"/>
    </row>
    <row r="955">
      <c r="B955" s="53"/>
    </row>
    <row r="956">
      <c r="B956" s="53"/>
    </row>
    <row r="957">
      <c r="B957" s="53"/>
    </row>
    <row r="958">
      <c r="B958" s="53"/>
    </row>
    <row r="959">
      <c r="B959" s="53"/>
    </row>
    <row r="960">
      <c r="B960" s="53"/>
    </row>
    <row r="961">
      <c r="B961" s="53"/>
    </row>
    <row r="962">
      <c r="B962" s="53"/>
    </row>
    <row r="963">
      <c r="B963" s="53"/>
    </row>
    <row r="964">
      <c r="B964" s="53"/>
    </row>
    <row r="965">
      <c r="B965" s="53"/>
    </row>
    <row r="966">
      <c r="B966" s="53"/>
    </row>
    <row r="967">
      <c r="B967" s="53"/>
    </row>
    <row r="968">
      <c r="B968" s="53"/>
    </row>
    <row r="969">
      <c r="B969" s="53"/>
    </row>
    <row r="970">
      <c r="B970" s="53"/>
    </row>
    <row r="971">
      <c r="B971" s="53"/>
    </row>
    <row r="972">
      <c r="B972" s="53"/>
    </row>
    <row r="973">
      <c r="B973" s="53"/>
    </row>
    <row r="974">
      <c r="B974" s="53"/>
    </row>
    <row r="975">
      <c r="B975" s="53"/>
    </row>
    <row r="976">
      <c r="B976" s="53"/>
    </row>
    <row r="977">
      <c r="B977" s="53"/>
    </row>
    <row r="978">
      <c r="B978" s="53"/>
    </row>
    <row r="979">
      <c r="B979" s="53"/>
    </row>
    <row r="980">
      <c r="B980" s="53"/>
    </row>
    <row r="981">
      <c r="B981" s="53"/>
    </row>
    <row r="982">
      <c r="B982" s="53"/>
    </row>
    <row r="983">
      <c r="B983" s="53"/>
    </row>
    <row r="984">
      <c r="B984" s="53"/>
    </row>
    <row r="985">
      <c r="B985" s="53"/>
    </row>
    <row r="986">
      <c r="B986" s="53"/>
    </row>
    <row r="987">
      <c r="B987" s="53"/>
    </row>
    <row r="988">
      <c r="B988" s="53"/>
    </row>
    <row r="989">
      <c r="B989" s="53"/>
    </row>
    <row r="990">
      <c r="B990" s="53"/>
    </row>
    <row r="991">
      <c r="B991" s="53"/>
    </row>
    <row r="992">
      <c r="B992" s="53"/>
    </row>
    <row r="993">
      <c r="B993" s="53"/>
    </row>
    <row r="994">
      <c r="B994" s="53"/>
    </row>
    <row r="995">
      <c r="B995" s="53"/>
    </row>
    <row r="996">
      <c r="B996" s="53"/>
    </row>
    <row r="997">
      <c r="B997" s="53"/>
    </row>
    <row r="998">
      <c r="B998" s="53"/>
    </row>
    <row r="999">
      <c r="B999" s="53"/>
    </row>
    <row r="1000">
      <c r="B1000" s="5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54" t="s">
        <v>4993</v>
      </c>
      <c r="B1" s="22" t="s">
        <v>368</v>
      </c>
      <c r="C1" s="23" t="s">
        <v>904</v>
      </c>
      <c r="D1" s="22" t="s">
        <v>370</v>
      </c>
      <c r="E1" s="22" t="s">
        <v>905</v>
      </c>
      <c r="F1" s="22" t="s">
        <v>906</v>
      </c>
      <c r="G1" s="22" t="s">
        <v>907</v>
      </c>
      <c r="H1" s="22" t="s">
        <v>908</v>
      </c>
      <c r="I1" s="22" t="s">
        <v>909</v>
      </c>
      <c r="J1" s="22" t="s">
        <v>910</v>
      </c>
      <c r="K1" s="22" t="s">
        <v>911</v>
      </c>
      <c r="L1" s="22" t="s">
        <v>912</v>
      </c>
      <c r="M1" s="22" t="s">
        <v>913</v>
      </c>
      <c r="N1" s="22" t="s">
        <v>914</v>
      </c>
      <c r="O1" s="22" t="s">
        <v>915</v>
      </c>
      <c r="P1" s="22" t="s">
        <v>916</v>
      </c>
      <c r="Q1" s="22" t="s">
        <v>917</v>
      </c>
      <c r="R1" s="22" t="s">
        <v>918</v>
      </c>
      <c r="S1" s="22" t="s">
        <v>919</v>
      </c>
      <c r="T1" s="22" t="s">
        <v>920</v>
      </c>
      <c r="U1" s="22" t="s">
        <v>921</v>
      </c>
      <c r="V1" s="22" t="s">
        <v>922</v>
      </c>
      <c r="W1" s="22" t="s">
        <v>923</v>
      </c>
      <c r="X1" s="22" t="s">
        <v>924</v>
      </c>
      <c r="Y1" s="22" t="s">
        <v>925</v>
      </c>
      <c r="Z1" s="22" t="s">
        <v>926</v>
      </c>
      <c r="AA1" s="22" t="s">
        <v>927</v>
      </c>
      <c r="AB1" s="22" t="s">
        <v>928</v>
      </c>
      <c r="AC1" s="22" t="s">
        <v>929</v>
      </c>
      <c r="AD1" s="22" t="s">
        <v>930</v>
      </c>
      <c r="AE1" s="22" t="s">
        <v>931</v>
      </c>
      <c r="AF1" s="22" t="s">
        <v>932</v>
      </c>
      <c r="AG1" s="22" t="s">
        <v>933</v>
      </c>
      <c r="AH1" s="22" t="s">
        <v>934</v>
      </c>
      <c r="AI1" s="22" t="s">
        <v>935</v>
      </c>
      <c r="AJ1" s="22" t="s">
        <v>936</v>
      </c>
      <c r="AK1" s="22" t="s">
        <v>937</v>
      </c>
      <c r="AL1" s="22" t="s">
        <v>938</v>
      </c>
      <c r="AM1" s="22" t="s">
        <v>939</v>
      </c>
      <c r="AN1" s="22" t="s">
        <v>940</v>
      </c>
      <c r="AO1" s="22" t="s">
        <v>941</v>
      </c>
      <c r="AP1" s="22" t="s">
        <v>942</v>
      </c>
      <c r="AQ1" s="22" t="s">
        <v>943</v>
      </c>
      <c r="AR1" s="22" t="s">
        <v>944</v>
      </c>
      <c r="AS1" s="22" t="s">
        <v>945</v>
      </c>
      <c r="AT1" s="22" t="s">
        <v>946</v>
      </c>
      <c r="AU1" s="22" t="s">
        <v>947</v>
      </c>
      <c r="AV1" s="22" t="s">
        <v>948</v>
      </c>
      <c r="AW1" s="22" t="s">
        <v>949</v>
      </c>
      <c r="AX1" s="22" t="s">
        <v>950</v>
      </c>
      <c r="AY1" s="22" t="s">
        <v>951</v>
      </c>
      <c r="AZ1" s="23" t="s">
        <v>904</v>
      </c>
      <c r="BA1" s="23" t="s">
        <v>952</v>
      </c>
    </row>
    <row r="2" ht="15.75" customHeight="1">
      <c r="A2" s="45">
        <v>1.0</v>
      </c>
      <c r="B2" s="24">
        <v>69.0</v>
      </c>
      <c r="C2" s="5" t="s">
        <v>110</v>
      </c>
      <c r="D2" s="3" t="s">
        <v>953</v>
      </c>
      <c r="E2" s="25">
        <v>46197.87013888889</v>
      </c>
      <c r="F2" s="3" t="s">
        <v>2962</v>
      </c>
      <c r="G2" s="3" t="s">
        <v>2962</v>
      </c>
      <c r="H2" s="3" t="s">
        <v>550</v>
      </c>
      <c r="I2" s="3" t="s">
        <v>2963</v>
      </c>
      <c r="J2" s="3" t="s">
        <v>2964</v>
      </c>
      <c r="K2" s="3" t="s">
        <v>2965</v>
      </c>
      <c r="L2" s="3" t="s">
        <v>2966</v>
      </c>
      <c r="M2" s="26">
        <v>36586.0</v>
      </c>
      <c r="N2" s="3" t="s">
        <v>2967</v>
      </c>
      <c r="O2" s="3" t="s">
        <v>2968</v>
      </c>
      <c r="P2" s="3" t="s">
        <v>2969</v>
      </c>
      <c r="Q2" s="4"/>
      <c r="R2" s="3" t="s">
        <v>2970</v>
      </c>
      <c r="S2" s="3" t="s">
        <v>1605</v>
      </c>
      <c r="T2" s="3" t="s">
        <v>2971</v>
      </c>
      <c r="U2" s="3" t="s">
        <v>1050</v>
      </c>
      <c r="V2" s="3" t="s">
        <v>2972</v>
      </c>
      <c r="W2" s="3" t="s">
        <v>2973</v>
      </c>
      <c r="X2" s="3" t="s">
        <v>2974</v>
      </c>
      <c r="Y2" s="3" t="s">
        <v>969</v>
      </c>
      <c r="Z2" s="3" t="s">
        <v>2975</v>
      </c>
      <c r="AA2" s="3" t="s">
        <v>969</v>
      </c>
      <c r="AB2" s="3" t="s">
        <v>2976</v>
      </c>
      <c r="AC2" s="3" t="s">
        <v>6</v>
      </c>
      <c r="AD2" s="3" t="s">
        <v>2977</v>
      </c>
      <c r="AE2" s="3" t="s">
        <v>2978</v>
      </c>
      <c r="AF2" s="3" t="s">
        <v>2979</v>
      </c>
      <c r="AG2" s="3" t="s">
        <v>1133</v>
      </c>
      <c r="AH2" s="3" t="s">
        <v>969</v>
      </c>
      <c r="AI2" s="3" t="s">
        <v>2980</v>
      </c>
      <c r="AJ2" s="3" t="s">
        <v>969</v>
      </c>
      <c r="AK2" s="3" t="s">
        <v>2981</v>
      </c>
      <c r="AL2" s="3" t="s">
        <v>2982</v>
      </c>
      <c r="AM2" s="3" t="s">
        <v>2485</v>
      </c>
      <c r="AN2" s="3" t="s">
        <v>2983</v>
      </c>
      <c r="AO2" s="3" t="s">
        <v>2984</v>
      </c>
      <c r="AP2" s="3" t="s">
        <v>2985</v>
      </c>
      <c r="AQ2" s="3" t="s">
        <v>2986</v>
      </c>
      <c r="AR2" s="3" t="s">
        <v>2987</v>
      </c>
      <c r="AS2" s="3" t="s">
        <v>969</v>
      </c>
      <c r="AT2" s="3" t="s">
        <v>969</v>
      </c>
      <c r="AU2" s="3" t="s">
        <v>1260</v>
      </c>
      <c r="AV2" s="3" t="s">
        <v>2988</v>
      </c>
      <c r="AW2" s="4"/>
      <c r="AX2" s="3" t="s">
        <v>969</v>
      </c>
      <c r="AY2" s="27">
        <v>15.99</v>
      </c>
      <c r="AZ2" s="5" t="s">
        <v>110</v>
      </c>
      <c r="BA2" s="5" t="s">
        <v>22</v>
      </c>
    </row>
    <row r="3" ht="15.75" customHeight="1">
      <c r="A3" s="45">
        <v>2.0</v>
      </c>
      <c r="B3" s="24">
        <v>188.0</v>
      </c>
      <c r="C3" s="5" t="s">
        <v>1</v>
      </c>
      <c r="D3" s="3" t="s">
        <v>953</v>
      </c>
      <c r="E3" s="25">
        <v>46216.12847222222</v>
      </c>
      <c r="F3" s="3" t="s">
        <v>357</v>
      </c>
      <c r="G3" s="3" t="s">
        <v>357</v>
      </c>
      <c r="H3" s="3" t="s">
        <v>652</v>
      </c>
      <c r="I3" s="3" t="s">
        <v>2989</v>
      </c>
      <c r="J3" s="3" t="s">
        <v>2990</v>
      </c>
      <c r="K3" s="3" t="s">
        <v>1801</v>
      </c>
      <c r="L3" s="3" t="s">
        <v>2991</v>
      </c>
      <c r="M3" s="26">
        <v>36925.0</v>
      </c>
      <c r="N3" s="3" t="s">
        <v>2992</v>
      </c>
      <c r="O3" s="3" t="s">
        <v>2993</v>
      </c>
      <c r="P3" s="4"/>
      <c r="Q3" s="3" t="s">
        <v>2994</v>
      </c>
      <c r="R3" s="3" t="s">
        <v>2995</v>
      </c>
      <c r="S3" s="3" t="s">
        <v>2996</v>
      </c>
      <c r="T3" s="3" t="s">
        <v>1869</v>
      </c>
      <c r="U3" s="3" t="s">
        <v>1124</v>
      </c>
      <c r="V3" s="3" t="s">
        <v>1051</v>
      </c>
      <c r="W3" s="3" t="s">
        <v>2997</v>
      </c>
      <c r="X3" s="3" t="s">
        <v>2998</v>
      </c>
      <c r="Y3" s="3" t="s">
        <v>969</v>
      </c>
      <c r="Z3" s="3" t="s">
        <v>1801</v>
      </c>
      <c r="AA3" s="3" t="s">
        <v>971</v>
      </c>
      <c r="AB3" s="4"/>
      <c r="AC3" s="3" t="s">
        <v>6</v>
      </c>
      <c r="AD3" s="3" t="s">
        <v>2999</v>
      </c>
      <c r="AE3" s="4"/>
      <c r="AF3" s="3" t="s">
        <v>3000</v>
      </c>
      <c r="AG3" s="3" t="s">
        <v>1541</v>
      </c>
      <c r="AH3" s="3" t="s">
        <v>971</v>
      </c>
      <c r="AI3" s="4"/>
      <c r="AJ3" s="4"/>
      <c r="AK3" s="4"/>
      <c r="AL3" s="3" t="s">
        <v>3001</v>
      </c>
      <c r="AM3" s="3" t="s">
        <v>3002</v>
      </c>
      <c r="AN3" s="3" t="s">
        <v>3003</v>
      </c>
      <c r="AO3" s="3" t="s">
        <v>3004</v>
      </c>
      <c r="AP3" s="3" t="s">
        <v>3005</v>
      </c>
      <c r="AQ3" s="3" t="s">
        <v>3006</v>
      </c>
      <c r="AR3" s="3" t="s">
        <v>3007</v>
      </c>
      <c r="AS3" s="3" t="s">
        <v>969</v>
      </c>
      <c r="AT3" s="3" t="s">
        <v>969</v>
      </c>
      <c r="AU3" s="3" t="s">
        <v>1039</v>
      </c>
      <c r="AV3" s="3" t="s">
        <v>2988</v>
      </c>
      <c r="AW3" s="3" t="s">
        <v>2997</v>
      </c>
      <c r="AX3" s="3" t="s">
        <v>969</v>
      </c>
      <c r="AY3" s="27">
        <v>15.99</v>
      </c>
      <c r="AZ3" s="5" t="s">
        <v>1</v>
      </c>
      <c r="BA3" s="5" t="s">
        <v>22</v>
      </c>
    </row>
    <row r="4" ht="15.75" customHeight="1">
      <c r="A4" s="45">
        <v>3.0</v>
      </c>
      <c r="B4" s="24">
        <v>169.0</v>
      </c>
      <c r="C4" s="5" t="s">
        <v>1</v>
      </c>
      <c r="D4" s="3" t="s">
        <v>953</v>
      </c>
      <c r="E4" s="25">
        <v>46209.43402777778</v>
      </c>
      <c r="F4" s="3" t="s">
        <v>318</v>
      </c>
      <c r="G4" s="3" t="s">
        <v>3008</v>
      </c>
      <c r="H4" s="3" t="s">
        <v>647</v>
      </c>
      <c r="I4" s="3" t="s">
        <v>3009</v>
      </c>
      <c r="J4" s="3" t="s">
        <v>3010</v>
      </c>
      <c r="K4" s="3" t="s">
        <v>3011</v>
      </c>
      <c r="L4" s="3" t="s">
        <v>3012</v>
      </c>
      <c r="M4" s="26">
        <v>37981.0</v>
      </c>
      <c r="N4" s="3" t="s">
        <v>3013</v>
      </c>
      <c r="O4" s="3" t="s">
        <v>3014</v>
      </c>
      <c r="P4" s="3" t="s">
        <v>3015</v>
      </c>
      <c r="Q4" s="3" t="s">
        <v>3016</v>
      </c>
      <c r="R4" s="3" t="s">
        <v>3017</v>
      </c>
      <c r="S4" s="3" t="s">
        <v>3018</v>
      </c>
      <c r="T4" s="3" t="s">
        <v>3019</v>
      </c>
      <c r="U4" s="3" t="s">
        <v>3020</v>
      </c>
      <c r="V4" s="3" t="s">
        <v>3021</v>
      </c>
      <c r="W4" s="3" t="s">
        <v>1397</v>
      </c>
      <c r="X4" s="3" t="s">
        <v>3022</v>
      </c>
      <c r="Y4" s="3" t="s">
        <v>969</v>
      </c>
      <c r="Z4" s="3" t="s">
        <v>3011</v>
      </c>
      <c r="AA4" s="3" t="s">
        <v>969</v>
      </c>
      <c r="AB4" s="3" t="s">
        <v>3023</v>
      </c>
      <c r="AC4" s="3" t="s">
        <v>6</v>
      </c>
      <c r="AD4" s="3" t="s">
        <v>3024</v>
      </c>
      <c r="AE4" s="3" t="s">
        <v>3025</v>
      </c>
      <c r="AF4" s="3" t="s">
        <v>3026</v>
      </c>
      <c r="AG4" s="3" t="s">
        <v>3027</v>
      </c>
      <c r="AH4" s="3" t="s">
        <v>969</v>
      </c>
      <c r="AI4" s="3" t="s">
        <v>3028</v>
      </c>
      <c r="AJ4" s="3" t="s">
        <v>971</v>
      </c>
      <c r="AK4" s="4"/>
      <c r="AL4" s="3" t="s">
        <v>3029</v>
      </c>
      <c r="AM4" s="3" t="s">
        <v>3030</v>
      </c>
      <c r="AN4" s="3" t="s">
        <v>3031</v>
      </c>
      <c r="AO4" s="3" t="s">
        <v>3032</v>
      </c>
      <c r="AP4" s="3" t="s">
        <v>3033</v>
      </c>
      <c r="AQ4" s="3" t="s">
        <v>3034</v>
      </c>
      <c r="AR4" s="3" t="s">
        <v>3035</v>
      </c>
      <c r="AS4" s="3" t="s">
        <v>969</v>
      </c>
      <c r="AT4" s="3" t="s">
        <v>969</v>
      </c>
      <c r="AU4" s="3" t="s">
        <v>1039</v>
      </c>
      <c r="AV4" s="3" t="s">
        <v>3036</v>
      </c>
      <c r="AW4" s="3" t="s">
        <v>3037</v>
      </c>
      <c r="AX4" s="3" t="s">
        <v>969</v>
      </c>
      <c r="AY4" s="27">
        <v>15.99</v>
      </c>
      <c r="AZ4" s="5" t="s">
        <v>1</v>
      </c>
      <c r="BA4" s="5" t="s">
        <v>22</v>
      </c>
    </row>
    <row r="5" ht="15.75" customHeight="1">
      <c r="A5" s="45">
        <v>4.0</v>
      </c>
      <c r="B5" s="24">
        <v>167.0</v>
      </c>
      <c r="C5" s="5" t="s">
        <v>1</v>
      </c>
      <c r="D5" s="3" t="s">
        <v>953</v>
      </c>
      <c r="E5" s="25">
        <v>46209.17361111111</v>
      </c>
      <c r="F5" s="3" t="s">
        <v>856</v>
      </c>
      <c r="G5" s="3" t="s">
        <v>856</v>
      </c>
      <c r="H5" s="3" t="s">
        <v>312</v>
      </c>
      <c r="I5" s="3" t="s">
        <v>3038</v>
      </c>
      <c r="J5" s="3" t="s">
        <v>3039</v>
      </c>
      <c r="K5" s="3" t="s">
        <v>1916</v>
      </c>
      <c r="L5" s="3" t="s">
        <v>3040</v>
      </c>
      <c r="M5" s="26">
        <v>37962.0</v>
      </c>
      <c r="N5" s="3" t="s">
        <v>3041</v>
      </c>
      <c r="O5" s="3" t="s">
        <v>3042</v>
      </c>
      <c r="P5" s="4"/>
      <c r="Q5" s="3" t="s">
        <v>3043</v>
      </c>
      <c r="R5" s="3" t="s">
        <v>3044</v>
      </c>
      <c r="S5" s="3" t="s">
        <v>3045</v>
      </c>
      <c r="T5" s="3" t="s">
        <v>3046</v>
      </c>
      <c r="U5" s="3" t="s">
        <v>1949</v>
      </c>
      <c r="V5" s="3" t="s">
        <v>3047</v>
      </c>
      <c r="W5" s="3" t="s">
        <v>3048</v>
      </c>
      <c r="X5" s="3" t="s">
        <v>3049</v>
      </c>
      <c r="Y5" s="3" t="s">
        <v>971</v>
      </c>
      <c r="Z5" s="3" t="s">
        <v>3050</v>
      </c>
      <c r="AA5" s="3" t="s">
        <v>969</v>
      </c>
      <c r="AB5" s="3" t="s">
        <v>3051</v>
      </c>
      <c r="AC5" s="3" t="s">
        <v>6</v>
      </c>
      <c r="AD5" s="3" t="s">
        <v>3052</v>
      </c>
      <c r="AE5" s="3" t="s">
        <v>3053</v>
      </c>
      <c r="AF5" s="3" t="s">
        <v>1250</v>
      </c>
      <c r="AG5" s="3" t="s">
        <v>1030</v>
      </c>
      <c r="AH5" s="3" t="s">
        <v>971</v>
      </c>
      <c r="AI5" s="4"/>
      <c r="AJ5" s="3" t="s">
        <v>971</v>
      </c>
      <c r="AK5" s="4"/>
      <c r="AL5" s="3" t="s">
        <v>3054</v>
      </c>
      <c r="AM5" s="3" t="s">
        <v>3055</v>
      </c>
      <c r="AN5" s="3" t="s">
        <v>3056</v>
      </c>
      <c r="AO5" s="3" t="s">
        <v>3057</v>
      </c>
      <c r="AP5" s="3" t="s">
        <v>3058</v>
      </c>
      <c r="AQ5" s="3" t="s">
        <v>3059</v>
      </c>
      <c r="AR5" s="3" t="s">
        <v>3060</v>
      </c>
      <c r="AS5" s="3" t="s">
        <v>969</v>
      </c>
      <c r="AT5" s="3" t="s">
        <v>969</v>
      </c>
      <c r="AU5" s="3" t="s">
        <v>1039</v>
      </c>
      <c r="AV5" s="3" t="s">
        <v>2988</v>
      </c>
      <c r="AW5" s="3" t="s">
        <v>1596</v>
      </c>
      <c r="AX5" s="3" t="s">
        <v>969</v>
      </c>
      <c r="AY5" s="27">
        <v>15.99</v>
      </c>
      <c r="AZ5" s="5" t="s">
        <v>1</v>
      </c>
      <c r="BA5" s="5" t="s">
        <v>43</v>
      </c>
    </row>
    <row r="6" ht="15.75" customHeight="1">
      <c r="A6" s="45">
        <v>5.0</v>
      </c>
      <c r="B6" s="24">
        <v>148.0</v>
      </c>
      <c r="C6" s="5" t="s">
        <v>1</v>
      </c>
      <c r="D6" s="3" t="s">
        <v>953</v>
      </c>
      <c r="E6" s="25">
        <v>46208.90763888889</v>
      </c>
      <c r="F6" s="3" t="s">
        <v>832</v>
      </c>
      <c r="G6" s="3" t="s">
        <v>832</v>
      </c>
      <c r="H6" s="3" t="s">
        <v>270</v>
      </c>
      <c r="I6" s="3" t="s">
        <v>3061</v>
      </c>
      <c r="J6" s="3" t="s">
        <v>3062</v>
      </c>
      <c r="K6" s="3" t="s">
        <v>189</v>
      </c>
      <c r="L6" s="3" t="s">
        <v>3063</v>
      </c>
      <c r="M6" s="26">
        <v>34160.0</v>
      </c>
      <c r="N6" s="3" t="s">
        <v>3064</v>
      </c>
      <c r="O6" s="3" t="s">
        <v>3065</v>
      </c>
      <c r="P6" s="3" t="s">
        <v>3066</v>
      </c>
      <c r="Q6" s="3" t="s">
        <v>3067</v>
      </c>
      <c r="R6" s="3" t="s">
        <v>3068</v>
      </c>
      <c r="S6" s="3" t="s">
        <v>3069</v>
      </c>
      <c r="T6" s="3" t="s">
        <v>3070</v>
      </c>
      <c r="U6" s="3" t="s">
        <v>3071</v>
      </c>
      <c r="V6" s="3" t="s">
        <v>3071</v>
      </c>
      <c r="W6" s="3" t="s">
        <v>3072</v>
      </c>
      <c r="X6" s="3" t="s">
        <v>3073</v>
      </c>
      <c r="Y6" s="3" t="s">
        <v>971</v>
      </c>
      <c r="Z6" s="3" t="s">
        <v>1128</v>
      </c>
      <c r="AA6" s="3" t="s">
        <v>969</v>
      </c>
      <c r="AB6" s="3" t="s">
        <v>3074</v>
      </c>
      <c r="AC6" s="3" t="s">
        <v>969</v>
      </c>
      <c r="AD6" s="3" t="s">
        <v>966</v>
      </c>
      <c r="AE6" s="4"/>
      <c r="AF6" s="4"/>
      <c r="AG6" s="4"/>
      <c r="AH6" s="3" t="s">
        <v>971</v>
      </c>
      <c r="AI6" s="4"/>
      <c r="AJ6" s="4"/>
      <c r="AK6" s="4"/>
      <c r="AL6" s="4"/>
      <c r="AM6" s="3" t="s">
        <v>3075</v>
      </c>
      <c r="AN6" s="3" t="s">
        <v>3076</v>
      </c>
      <c r="AO6" s="3" t="s">
        <v>3077</v>
      </c>
      <c r="AP6" s="3" t="s">
        <v>3078</v>
      </c>
      <c r="AQ6" s="3" t="s">
        <v>3079</v>
      </c>
      <c r="AR6" s="3" t="s">
        <v>3080</v>
      </c>
      <c r="AS6" s="3" t="s">
        <v>969</v>
      </c>
      <c r="AT6" s="3" t="s">
        <v>969</v>
      </c>
      <c r="AU6" s="3" t="s">
        <v>1260</v>
      </c>
      <c r="AV6" s="3" t="s">
        <v>3081</v>
      </c>
      <c r="AW6" s="3" t="s">
        <v>3082</v>
      </c>
      <c r="AX6" s="3" t="s">
        <v>969</v>
      </c>
      <c r="AY6" s="27">
        <v>15.99</v>
      </c>
      <c r="AZ6" s="5" t="s">
        <v>1</v>
      </c>
      <c r="BA6" s="5" t="s">
        <v>43</v>
      </c>
    </row>
    <row r="7" ht="15.75" customHeight="1">
      <c r="A7" s="45">
        <v>6.0</v>
      </c>
      <c r="B7" s="24">
        <v>147.0</v>
      </c>
      <c r="C7" s="5" t="s">
        <v>1</v>
      </c>
      <c r="D7" s="3" t="s">
        <v>953</v>
      </c>
      <c r="E7" s="25">
        <v>46208.90138888889</v>
      </c>
      <c r="F7" s="3" t="s">
        <v>3083</v>
      </c>
      <c r="G7" s="3" t="s">
        <v>3083</v>
      </c>
      <c r="H7" s="3" t="s">
        <v>265</v>
      </c>
      <c r="I7" s="3" t="s">
        <v>3084</v>
      </c>
      <c r="J7" s="3" t="s">
        <v>3085</v>
      </c>
      <c r="K7" s="3" t="s">
        <v>2348</v>
      </c>
      <c r="L7" s="3" t="s">
        <v>3086</v>
      </c>
      <c r="M7" s="26">
        <v>38965.0</v>
      </c>
      <c r="N7" s="3" t="s">
        <v>3087</v>
      </c>
      <c r="O7" s="3" t="s">
        <v>3088</v>
      </c>
      <c r="P7" s="3" t="s">
        <v>3089</v>
      </c>
      <c r="Q7" s="3" t="s">
        <v>3090</v>
      </c>
      <c r="R7" s="3" t="s">
        <v>3091</v>
      </c>
      <c r="S7" s="3" t="s">
        <v>3092</v>
      </c>
      <c r="T7" s="3" t="s">
        <v>3093</v>
      </c>
      <c r="U7" s="3" t="s">
        <v>1896</v>
      </c>
      <c r="V7" s="3" t="s">
        <v>3094</v>
      </c>
      <c r="W7" s="3" t="s">
        <v>3095</v>
      </c>
      <c r="X7" s="3" t="s">
        <v>3096</v>
      </c>
      <c r="Y7" s="3" t="s">
        <v>969</v>
      </c>
      <c r="Z7" s="3" t="s">
        <v>2332</v>
      </c>
      <c r="AA7" s="3" t="s">
        <v>971</v>
      </c>
      <c r="AB7" s="4"/>
      <c r="AC7" s="4"/>
      <c r="AD7" s="3" t="s">
        <v>3097</v>
      </c>
      <c r="AE7" s="3" t="s">
        <v>3098</v>
      </c>
      <c r="AF7" s="3" t="s">
        <v>3099</v>
      </c>
      <c r="AG7" s="4"/>
      <c r="AH7" s="3" t="s">
        <v>971</v>
      </c>
      <c r="AI7" s="4"/>
      <c r="AJ7" s="3" t="s">
        <v>969</v>
      </c>
      <c r="AK7" s="3" t="s">
        <v>3100</v>
      </c>
      <c r="AL7" s="3" t="s">
        <v>3101</v>
      </c>
      <c r="AM7" s="3" t="s">
        <v>3102</v>
      </c>
      <c r="AN7" s="3" t="s">
        <v>3103</v>
      </c>
      <c r="AO7" s="3" t="s">
        <v>3104</v>
      </c>
      <c r="AP7" s="3" t="s">
        <v>3105</v>
      </c>
      <c r="AQ7" s="3" t="s">
        <v>3106</v>
      </c>
      <c r="AR7" s="3" t="s">
        <v>3107</v>
      </c>
      <c r="AS7" s="3" t="s">
        <v>969</v>
      </c>
      <c r="AT7" s="3" t="s">
        <v>969</v>
      </c>
      <c r="AU7" s="3" t="s">
        <v>1039</v>
      </c>
      <c r="AV7" s="3" t="s">
        <v>3108</v>
      </c>
      <c r="AW7" s="3" t="s">
        <v>3109</v>
      </c>
      <c r="AX7" s="3" t="s">
        <v>969</v>
      </c>
      <c r="AY7" s="27">
        <v>15.99</v>
      </c>
      <c r="AZ7" s="5" t="s">
        <v>1</v>
      </c>
      <c r="BA7" s="5" t="s">
        <v>7</v>
      </c>
    </row>
    <row r="8" ht="15.75" customHeight="1">
      <c r="A8" s="45">
        <v>7.0</v>
      </c>
      <c r="B8" s="24">
        <v>144.0</v>
      </c>
      <c r="C8" s="5" t="s">
        <v>1</v>
      </c>
      <c r="D8" s="3" t="s">
        <v>953</v>
      </c>
      <c r="E8" s="25">
        <v>46208.87847222222</v>
      </c>
      <c r="F8" s="3" t="s">
        <v>260</v>
      </c>
      <c r="G8" s="3" t="s">
        <v>260</v>
      </c>
      <c r="H8" s="3" t="s">
        <v>261</v>
      </c>
      <c r="I8" s="3" t="s">
        <v>3110</v>
      </c>
      <c r="J8" s="3" t="s">
        <v>3111</v>
      </c>
      <c r="K8" s="3" t="s">
        <v>3112</v>
      </c>
      <c r="L8" s="3" t="s">
        <v>3113</v>
      </c>
      <c r="M8" s="26">
        <v>38402.0</v>
      </c>
      <c r="N8" s="3" t="s">
        <v>3114</v>
      </c>
      <c r="O8" s="3" t="s">
        <v>3115</v>
      </c>
      <c r="P8" s="4"/>
      <c r="Q8" s="3" t="s">
        <v>3116</v>
      </c>
      <c r="R8" s="3" t="s">
        <v>3117</v>
      </c>
      <c r="S8" s="3" t="s">
        <v>1605</v>
      </c>
      <c r="T8" s="3" t="s">
        <v>3118</v>
      </c>
      <c r="U8" s="3" t="s">
        <v>3119</v>
      </c>
      <c r="V8" s="3" t="s">
        <v>3120</v>
      </c>
      <c r="W8" s="3" t="s">
        <v>3121</v>
      </c>
      <c r="X8" s="3" t="s">
        <v>3122</v>
      </c>
      <c r="Y8" s="3" t="s">
        <v>969</v>
      </c>
      <c r="Z8" s="3" t="s">
        <v>1054</v>
      </c>
      <c r="AA8" s="3" t="s">
        <v>971</v>
      </c>
      <c r="AB8" s="4"/>
      <c r="AC8" s="3" t="s">
        <v>3123</v>
      </c>
      <c r="AD8" s="3" t="s">
        <v>3124</v>
      </c>
      <c r="AE8" s="3" t="s">
        <v>3125</v>
      </c>
      <c r="AF8" s="3" t="s">
        <v>3126</v>
      </c>
      <c r="AG8" s="3" t="s">
        <v>1002</v>
      </c>
      <c r="AH8" s="3" t="s">
        <v>971</v>
      </c>
      <c r="AI8" s="4"/>
      <c r="AJ8" s="4"/>
      <c r="AK8" s="4"/>
      <c r="AL8" s="3" t="s">
        <v>3127</v>
      </c>
      <c r="AM8" s="3" t="s">
        <v>3128</v>
      </c>
      <c r="AN8" s="3" t="s">
        <v>3129</v>
      </c>
      <c r="AO8" s="3" t="s">
        <v>3130</v>
      </c>
      <c r="AP8" s="3" t="s">
        <v>3131</v>
      </c>
      <c r="AQ8" s="3" t="s">
        <v>3132</v>
      </c>
      <c r="AR8" s="3" t="s">
        <v>3133</v>
      </c>
      <c r="AS8" s="3" t="s">
        <v>969</v>
      </c>
      <c r="AT8" s="3" t="s">
        <v>969</v>
      </c>
      <c r="AU8" s="3" t="s">
        <v>1039</v>
      </c>
      <c r="AV8" s="3" t="s">
        <v>3134</v>
      </c>
      <c r="AW8" s="3" t="s">
        <v>3135</v>
      </c>
      <c r="AX8" s="3" t="s">
        <v>969</v>
      </c>
      <c r="AY8" s="27">
        <v>15.99</v>
      </c>
      <c r="AZ8" s="5" t="s">
        <v>1</v>
      </c>
      <c r="BA8" s="5" t="s">
        <v>7</v>
      </c>
    </row>
    <row r="9" ht="15.75" customHeight="1">
      <c r="A9" s="45">
        <v>8.0</v>
      </c>
      <c r="B9" s="24">
        <v>143.0</v>
      </c>
      <c r="C9" s="5" t="s">
        <v>1</v>
      </c>
      <c r="D9" s="3" t="s">
        <v>953</v>
      </c>
      <c r="E9" s="25">
        <v>46208.875</v>
      </c>
      <c r="F9" s="3" t="s">
        <v>255</v>
      </c>
      <c r="G9" s="3" t="s">
        <v>255</v>
      </c>
      <c r="H9" s="3" t="s">
        <v>256</v>
      </c>
      <c r="I9" s="3" t="s">
        <v>3136</v>
      </c>
      <c r="J9" s="4"/>
      <c r="K9" s="3" t="s">
        <v>3137</v>
      </c>
      <c r="L9" s="3" t="s">
        <v>3138</v>
      </c>
      <c r="M9" s="26">
        <v>33395.0</v>
      </c>
      <c r="N9" s="3" t="s">
        <v>3139</v>
      </c>
      <c r="O9" s="3" t="s">
        <v>3140</v>
      </c>
      <c r="P9" s="4"/>
      <c r="Q9" s="4"/>
      <c r="R9" s="4"/>
      <c r="S9" s="3" t="s">
        <v>3141</v>
      </c>
      <c r="T9" s="3" t="s">
        <v>3141</v>
      </c>
      <c r="U9" s="3" t="s">
        <v>3142</v>
      </c>
      <c r="V9" s="3" t="s">
        <v>3143</v>
      </c>
      <c r="W9" s="4"/>
      <c r="X9" s="3" t="s">
        <v>3144</v>
      </c>
      <c r="Y9" s="3" t="s">
        <v>969</v>
      </c>
      <c r="Z9" s="3" t="s">
        <v>1080</v>
      </c>
      <c r="AA9" s="3" t="s">
        <v>971</v>
      </c>
      <c r="AB9" s="4"/>
      <c r="AC9" s="4"/>
      <c r="AD9" s="3" t="s">
        <v>3145</v>
      </c>
      <c r="AE9" s="4"/>
      <c r="AF9" s="3" t="s">
        <v>1250</v>
      </c>
      <c r="AG9" s="3" t="s">
        <v>1541</v>
      </c>
      <c r="AH9" s="3" t="s">
        <v>971</v>
      </c>
      <c r="AI9" s="4"/>
      <c r="AJ9" s="4"/>
      <c r="AK9" s="4"/>
      <c r="AL9" s="4"/>
      <c r="AM9" s="3" t="s">
        <v>3146</v>
      </c>
      <c r="AN9" s="3" t="s">
        <v>3147</v>
      </c>
      <c r="AO9" s="3" t="s">
        <v>3148</v>
      </c>
      <c r="AP9" s="3" t="s">
        <v>3149</v>
      </c>
      <c r="AQ9" s="3" t="s">
        <v>3150</v>
      </c>
      <c r="AR9" s="3" t="s">
        <v>3151</v>
      </c>
      <c r="AS9" s="3" t="s">
        <v>969</v>
      </c>
      <c r="AT9" s="3" t="s">
        <v>969</v>
      </c>
      <c r="AU9" s="3" t="s">
        <v>1039</v>
      </c>
      <c r="AV9" s="3" t="s">
        <v>3152</v>
      </c>
      <c r="AW9" s="4"/>
      <c r="AX9" s="3" t="s">
        <v>969</v>
      </c>
      <c r="AY9" s="27">
        <v>15.99</v>
      </c>
      <c r="AZ9" s="5" t="s">
        <v>1</v>
      </c>
      <c r="BA9" s="5" t="s">
        <v>7</v>
      </c>
    </row>
    <row r="10" ht="15.75" customHeight="1">
      <c r="A10" s="45">
        <v>9.0</v>
      </c>
      <c r="B10" s="24">
        <v>138.0</v>
      </c>
      <c r="C10" s="5" t="s">
        <v>1</v>
      </c>
      <c r="D10" s="3" t="s">
        <v>953</v>
      </c>
      <c r="E10" s="25">
        <v>46208.83333333334</v>
      </c>
      <c r="F10" s="3" t="s">
        <v>3153</v>
      </c>
      <c r="G10" s="3" t="s">
        <v>3153</v>
      </c>
      <c r="H10" s="3" t="s">
        <v>238</v>
      </c>
      <c r="I10" s="3" t="s">
        <v>677</v>
      </c>
      <c r="J10" s="3" t="s">
        <v>3154</v>
      </c>
      <c r="K10" s="3" t="s">
        <v>3155</v>
      </c>
      <c r="L10" s="3" t="s">
        <v>3156</v>
      </c>
      <c r="M10" s="26">
        <v>34649.0</v>
      </c>
      <c r="N10" s="3" t="s">
        <v>3157</v>
      </c>
      <c r="O10" s="3" t="s">
        <v>3158</v>
      </c>
      <c r="P10" s="4"/>
      <c r="Q10" s="4"/>
      <c r="R10" s="4"/>
      <c r="S10" s="3" t="s">
        <v>3159</v>
      </c>
      <c r="T10" s="3" t="s">
        <v>3160</v>
      </c>
      <c r="U10" s="3" t="s">
        <v>3161</v>
      </c>
      <c r="V10" s="3" t="s">
        <v>1050</v>
      </c>
      <c r="W10" s="3" t="s">
        <v>3162</v>
      </c>
      <c r="X10" s="3" t="s">
        <v>3163</v>
      </c>
      <c r="Y10" s="3" t="s">
        <v>969</v>
      </c>
      <c r="Z10" s="3" t="s">
        <v>3155</v>
      </c>
      <c r="AA10" s="3" t="s">
        <v>971</v>
      </c>
      <c r="AB10" s="4"/>
      <c r="AC10" s="3" t="s">
        <v>969</v>
      </c>
      <c r="AD10" s="3" t="s">
        <v>3164</v>
      </c>
      <c r="AE10" s="4"/>
      <c r="AF10" s="3" t="s">
        <v>3165</v>
      </c>
      <c r="AG10" s="3" t="s">
        <v>2853</v>
      </c>
      <c r="AH10" s="3" t="s">
        <v>971</v>
      </c>
      <c r="AI10" s="4"/>
      <c r="AJ10" s="3" t="s">
        <v>3166</v>
      </c>
      <c r="AK10" s="3" t="s">
        <v>3167</v>
      </c>
      <c r="AL10" s="3" t="s">
        <v>3168</v>
      </c>
      <c r="AM10" s="3" t="s">
        <v>3169</v>
      </c>
      <c r="AN10" s="3" t="s">
        <v>3170</v>
      </c>
      <c r="AO10" s="3" t="s">
        <v>3171</v>
      </c>
      <c r="AP10" s="3" t="s">
        <v>3172</v>
      </c>
      <c r="AQ10" s="3" t="s">
        <v>3173</v>
      </c>
      <c r="AR10" s="3" t="s">
        <v>3174</v>
      </c>
      <c r="AS10" s="3" t="s">
        <v>969</v>
      </c>
      <c r="AT10" s="3" t="s">
        <v>969</v>
      </c>
      <c r="AU10" s="3" t="s">
        <v>1409</v>
      </c>
      <c r="AV10" s="3" t="s">
        <v>3175</v>
      </c>
      <c r="AW10" s="3" t="s">
        <v>3176</v>
      </c>
      <c r="AX10" s="3" t="s">
        <v>969</v>
      </c>
      <c r="AY10" s="27">
        <v>15.99</v>
      </c>
      <c r="AZ10" s="5" t="s">
        <v>1</v>
      </c>
      <c r="BA10" s="5" t="s">
        <v>241</v>
      </c>
    </row>
    <row r="11" ht="15.75" customHeight="1">
      <c r="A11" s="45">
        <v>10.0</v>
      </c>
      <c r="B11" s="24">
        <v>137.0</v>
      </c>
      <c r="C11" s="5" t="s">
        <v>1</v>
      </c>
      <c r="D11" s="3" t="s">
        <v>953</v>
      </c>
      <c r="E11" s="25">
        <v>46208.82777777778</v>
      </c>
      <c r="F11" s="3" t="s">
        <v>3177</v>
      </c>
      <c r="G11" s="3" t="s">
        <v>235</v>
      </c>
      <c r="H11" s="3" t="s">
        <v>791</v>
      </c>
      <c r="I11" s="3" t="s">
        <v>3178</v>
      </c>
      <c r="J11" s="3" t="s">
        <v>3179</v>
      </c>
      <c r="K11" s="3" t="s">
        <v>2753</v>
      </c>
      <c r="L11" s="3" t="s">
        <v>3180</v>
      </c>
      <c r="M11" s="26">
        <v>34541.0</v>
      </c>
      <c r="N11" s="3" t="s">
        <v>3181</v>
      </c>
      <c r="O11" s="3" t="s">
        <v>3182</v>
      </c>
      <c r="P11" s="4"/>
      <c r="Q11" s="4"/>
      <c r="R11" s="3" t="s">
        <v>3183</v>
      </c>
      <c r="S11" s="3" t="s">
        <v>3184</v>
      </c>
      <c r="T11" s="3" t="s">
        <v>3185</v>
      </c>
      <c r="U11" s="3" t="s">
        <v>1245</v>
      </c>
      <c r="V11" s="3" t="s">
        <v>3186</v>
      </c>
      <c r="W11" s="3" t="s">
        <v>2925</v>
      </c>
      <c r="X11" s="3" t="s">
        <v>3187</v>
      </c>
      <c r="Y11" s="3" t="s">
        <v>969</v>
      </c>
      <c r="Z11" s="3" t="s">
        <v>3188</v>
      </c>
      <c r="AA11" s="3" t="s">
        <v>969</v>
      </c>
      <c r="AB11" s="3" t="s">
        <v>3189</v>
      </c>
      <c r="AC11" s="3" t="s">
        <v>969</v>
      </c>
      <c r="AD11" s="3" t="s">
        <v>971</v>
      </c>
      <c r="AE11" s="4"/>
      <c r="AF11" s="4"/>
      <c r="AG11" s="3" t="s">
        <v>1956</v>
      </c>
      <c r="AH11" s="3" t="s">
        <v>969</v>
      </c>
      <c r="AI11" s="3" t="s">
        <v>3190</v>
      </c>
      <c r="AJ11" s="3" t="s">
        <v>971</v>
      </c>
      <c r="AK11" s="4"/>
      <c r="AL11" s="3" t="s">
        <v>3191</v>
      </c>
      <c r="AM11" s="3" t="s">
        <v>3192</v>
      </c>
      <c r="AN11" s="3" t="s">
        <v>3193</v>
      </c>
      <c r="AO11" s="3" t="s">
        <v>3194</v>
      </c>
      <c r="AP11" s="3" t="s">
        <v>3195</v>
      </c>
      <c r="AQ11" s="3" t="s">
        <v>3196</v>
      </c>
      <c r="AR11" s="3" t="s">
        <v>3197</v>
      </c>
      <c r="AS11" s="3" t="s">
        <v>969</v>
      </c>
      <c r="AT11" s="3" t="s">
        <v>969</v>
      </c>
      <c r="AU11" s="3" t="s">
        <v>1039</v>
      </c>
      <c r="AV11" s="3" t="s">
        <v>2217</v>
      </c>
      <c r="AW11" s="3" t="s">
        <v>3198</v>
      </c>
      <c r="AX11" s="3" t="s">
        <v>969</v>
      </c>
      <c r="AY11" s="27">
        <v>15.99</v>
      </c>
      <c r="AZ11" s="5" t="s">
        <v>1</v>
      </c>
      <c r="BA11" s="5" t="s">
        <v>22</v>
      </c>
    </row>
    <row r="12" ht="15.75" customHeight="1">
      <c r="A12" s="45">
        <v>11.0</v>
      </c>
      <c r="B12" s="24">
        <v>130.0</v>
      </c>
      <c r="C12" s="5" t="s">
        <v>1</v>
      </c>
      <c r="D12" s="3" t="s">
        <v>953</v>
      </c>
      <c r="E12" s="25">
        <v>46208.72222222222</v>
      </c>
      <c r="F12" s="3" t="s">
        <v>3199</v>
      </c>
      <c r="G12" s="3" t="s">
        <v>3199</v>
      </c>
      <c r="H12" s="3" t="s">
        <v>725</v>
      </c>
      <c r="I12" s="3" t="s">
        <v>3200</v>
      </c>
      <c r="J12" s="3" t="s">
        <v>3201</v>
      </c>
      <c r="K12" s="3" t="s">
        <v>3202</v>
      </c>
      <c r="L12" s="3" t="s">
        <v>3203</v>
      </c>
      <c r="M12" s="26">
        <v>31261.0</v>
      </c>
      <c r="N12" s="3" t="s">
        <v>3204</v>
      </c>
      <c r="O12" s="3" t="s">
        <v>3205</v>
      </c>
      <c r="P12" s="4"/>
      <c r="Q12" s="4"/>
      <c r="R12" s="4"/>
      <c r="S12" s="3" t="s">
        <v>3206</v>
      </c>
      <c r="T12" s="3" t="s">
        <v>3207</v>
      </c>
      <c r="U12" s="3" t="s">
        <v>3208</v>
      </c>
      <c r="V12" s="3" t="s">
        <v>3209</v>
      </c>
      <c r="W12" s="3" t="s">
        <v>3210</v>
      </c>
      <c r="X12" s="3" t="s">
        <v>3211</v>
      </c>
      <c r="Y12" s="3" t="s">
        <v>969</v>
      </c>
      <c r="Z12" s="4"/>
      <c r="AA12" s="3" t="s">
        <v>969</v>
      </c>
      <c r="AB12" s="4"/>
      <c r="AC12" s="3" t="s">
        <v>969</v>
      </c>
      <c r="AD12" s="3" t="s">
        <v>3212</v>
      </c>
      <c r="AE12" s="4"/>
      <c r="AF12" s="3" t="s">
        <v>3213</v>
      </c>
      <c r="AG12" s="3" t="s">
        <v>3214</v>
      </c>
      <c r="AH12" s="3" t="s">
        <v>969</v>
      </c>
      <c r="AI12" s="4"/>
      <c r="AJ12" s="4"/>
      <c r="AK12" s="4"/>
      <c r="AL12" s="4"/>
      <c r="AM12" s="3" t="s">
        <v>3215</v>
      </c>
      <c r="AN12" s="3" t="s">
        <v>3216</v>
      </c>
      <c r="AO12" s="3" t="s">
        <v>3217</v>
      </c>
      <c r="AP12" s="3" t="s">
        <v>3218</v>
      </c>
      <c r="AQ12" s="3" t="s">
        <v>3219</v>
      </c>
      <c r="AR12" s="3" t="s">
        <v>3220</v>
      </c>
      <c r="AS12" s="3" t="s">
        <v>969</v>
      </c>
      <c r="AT12" s="3" t="s">
        <v>969</v>
      </c>
      <c r="AU12" s="3" t="s">
        <v>1039</v>
      </c>
      <c r="AV12" s="3" t="s">
        <v>3221</v>
      </c>
      <c r="AW12" s="3" t="s">
        <v>3222</v>
      </c>
      <c r="AX12" s="3" t="s">
        <v>969</v>
      </c>
      <c r="AY12" s="27">
        <v>15.99</v>
      </c>
      <c r="AZ12" s="5" t="s">
        <v>1</v>
      </c>
      <c r="BA12" s="5" t="s">
        <v>22</v>
      </c>
    </row>
    <row r="13" ht="15.75" customHeight="1">
      <c r="A13" s="45">
        <v>12.0</v>
      </c>
      <c r="B13" s="24">
        <v>129.0</v>
      </c>
      <c r="C13" s="5" t="s">
        <v>1</v>
      </c>
      <c r="D13" s="3" t="s">
        <v>953</v>
      </c>
      <c r="E13" s="25">
        <v>46208.71180555555</v>
      </c>
      <c r="F13" s="3" t="s">
        <v>3223</v>
      </c>
      <c r="G13" s="3" t="s">
        <v>3223</v>
      </c>
      <c r="H13" s="3" t="s">
        <v>3224</v>
      </c>
      <c r="I13" s="3" t="s">
        <v>3225</v>
      </c>
      <c r="J13" s="3" t="s">
        <v>3226</v>
      </c>
      <c r="K13" s="3" t="s">
        <v>1943</v>
      </c>
      <c r="L13" s="3" t="s">
        <v>3158</v>
      </c>
      <c r="M13" s="26">
        <v>31092.0</v>
      </c>
      <c r="N13" s="3" t="s">
        <v>3227</v>
      </c>
      <c r="O13" s="3" t="s">
        <v>3228</v>
      </c>
      <c r="P13" s="4"/>
      <c r="Q13" s="3" t="s">
        <v>3229</v>
      </c>
      <c r="R13" s="3" t="s">
        <v>3230</v>
      </c>
      <c r="S13" s="3" t="s">
        <v>3231</v>
      </c>
      <c r="T13" s="3" t="s">
        <v>3232</v>
      </c>
      <c r="U13" s="3" t="s">
        <v>3233</v>
      </c>
      <c r="V13" s="3" t="s">
        <v>3234</v>
      </c>
      <c r="W13" s="3" t="s">
        <v>3235</v>
      </c>
      <c r="X13" s="3" t="s">
        <v>3236</v>
      </c>
      <c r="Y13" s="3" t="s">
        <v>969</v>
      </c>
      <c r="Z13" s="3" t="s">
        <v>1399</v>
      </c>
      <c r="AA13" s="3" t="s">
        <v>971</v>
      </c>
      <c r="AB13" s="4"/>
      <c r="AC13" s="3" t="s">
        <v>969</v>
      </c>
      <c r="AD13" s="3" t="s">
        <v>3237</v>
      </c>
      <c r="AE13" s="3" t="s">
        <v>3238</v>
      </c>
      <c r="AF13" s="3" t="s">
        <v>3239</v>
      </c>
      <c r="AG13" s="3" t="s">
        <v>2853</v>
      </c>
      <c r="AH13" s="3" t="s">
        <v>971</v>
      </c>
      <c r="AI13" s="3" t="s">
        <v>3240</v>
      </c>
      <c r="AJ13" s="3" t="s">
        <v>3241</v>
      </c>
      <c r="AK13" s="3" t="s">
        <v>3242</v>
      </c>
      <c r="AL13" s="3" t="s">
        <v>3243</v>
      </c>
      <c r="AM13" s="3" t="s">
        <v>3244</v>
      </c>
      <c r="AN13" s="3" t="s">
        <v>3245</v>
      </c>
      <c r="AO13" s="3" t="s">
        <v>3246</v>
      </c>
      <c r="AP13" s="3" t="s">
        <v>3247</v>
      </c>
      <c r="AQ13" s="3" t="s">
        <v>3248</v>
      </c>
      <c r="AR13" s="3" t="s">
        <v>3249</v>
      </c>
      <c r="AS13" s="3" t="s">
        <v>969</v>
      </c>
      <c r="AT13" s="3" t="s">
        <v>969</v>
      </c>
      <c r="AU13" s="3" t="s">
        <v>1409</v>
      </c>
      <c r="AV13" s="3" t="s">
        <v>3250</v>
      </c>
      <c r="AW13" s="3" t="s">
        <v>3251</v>
      </c>
      <c r="AX13" s="3" t="s">
        <v>969</v>
      </c>
      <c r="AY13" s="27">
        <v>15.99</v>
      </c>
      <c r="AZ13" s="5" t="s">
        <v>1</v>
      </c>
      <c r="BA13" s="5" t="s">
        <v>22</v>
      </c>
    </row>
    <row r="14" ht="15.75" customHeight="1">
      <c r="A14" s="45">
        <v>13.0</v>
      </c>
      <c r="B14" s="24">
        <v>127.0</v>
      </c>
      <c r="C14" s="5" t="s">
        <v>56</v>
      </c>
      <c r="D14" s="3" t="s">
        <v>953</v>
      </c>
      <c r="E14" s="25">
        <v>46208.69930555556</v>
      </c>
      <c r="F14" s="3" t="s">
        <v>214</v>
      </c>
      <c r="G14" s="3" t="s">
        <v>214</v>
      </c>
      <c r="H14" s="3" t="s">
        <v>565</v>
      </c>
      <c r="I14" s="3" t="s">
        <v>3252</v>
      </c>
      <c r="J14" s="3" t="s">
        <v>3253</v>
      </c>
      <c r="K14" s="3" t="s">
        <v>3254</v>
      </c>
      <c r="L14" s="3" t="s">
        <v>3255</v>
      </c>
      <c r="M14" s="26">
        <v>38833.0</v>
      </c>
      <c r="N14" s="3" t="s">
        <v>3256</v>
      </c>
      <c r="O14" s="3" t="s">
        <v>3257</v>
      </c>
      <c r="P14" s="4"/>
      <c r="Q14" s="3" t="s">
        <v>3258</v>
      </c>
      <c r="R14" s="4"/>
      <c r="S14" s="3" t="s">
        <v>3259</v>
      </c>
      <c r="T14" s="3" t="s">
        <v>3260</v>
      </c>
      <c r="U14" s="3" t="s">
        <v>1124</v>
      </c>
      <c r="V14" s="3" t="s">
        <v>3261</v>
      </c>
      <c r="W14" s="3" t="s">
        <v>1926</v>
      </c>
      <c r="X14" s="3" t="s">
        <v>3262</v>
      </c>
      <c r="Y14" s="3" t="s">
        <v>969</v>
      </c>
      <c r="Z14" s="3" t="s">
        <v>1399</v>
      </c>
      <c r="AA14" s="3" t="s">
        <v>971</v>
      </c>
      <c r="AB14" s="4"/>
      <c r="AC14" s="3" t="s">
        <v>6</v>
      </c>
      <c r="AD14" s="3" t="s">
        <v>3263</v>
      </c>
      <c r="AE14" s="3" t="s">
        <v>3264</v>
      </c>
      <c r="AF14" s="3" t="s">
        <v>3265</v>
      </c>
      <c r="AG14" s="3" t="s">
        <v>3266</v>
      </c>
      <c r="AH14" s="3" t="s">
        <v>971</v>
      </c>
      <c r="AI14" s="4"/>
      <c r="AJ14" s="3" t="s">
        <v>971</v>
      </c>
      <c r="AK14" s="4"/>
      <c r="AL14" s="3" t="s">
        <v>3267</v>
      </c>
      <c r="AM14" s="3" t="s">
        <v>3268</v>
      </c>
      <c r="AN14" s="3" t="s">
        <v>3269</v>
      </c>
      <c r="AO14" s="3" t="s">
        <v>3270</v>
      </c>
      <c r="AP14" s="3" t="s">
        <v>3271</v>
      </c>
      <c r="AQ14" s="3" t="s">
        <v>3272</v>
      </c>
      <c r="AR14" s="3" t="s">
        <v>3273</v>
      </c>
      <c r="AS14" s="3" t="s">
        <v>969</v>
      </c>
      <c r="AT14" s="3" t="s">
        <v>969</v>
      </c>
      <c r="AU14" s="3" t="s">
        <v>1409</v>
      </c>
      <c r="AV14" s="3" t="s">
        <v>3152</v>
      </c>
      <c r="AW14" s="3" t="s">
        <v>1288</v>
      </c>
      <c r="AX14" s="3" t="s">
        <v>969</v>
      </c>
      <c r="AY14" s="27">
        <v>15.99</v>
      </c>
      <c r="AZ14" s="5" t="s">
        <v>56</v>
      </c>
      <c r="BA14" s="5" t="s">
        <v>22</v>
      </c>
    </row>
    <row r="15" ht="15.75" customHeight="1">
      <c r="A15" s="45">
        <v>14.0</v>
      </c>
      <c r="B15" s="24">
        <v>123.0</v>
      </c>
      <c r="C15" s="5" t="s">
        <v>1</v>
      </c>
      <c r="D15" s="3" t="s">
        <v>953</v>
      </c>
      <c r="E15" s="25">
        <v>46208.64930555555</v>
      </c>
      <c r="F15" s="3" t="s">
        <v>860</v>
      </c>
      <c r="G15" s="3" t="s">
        <v>3274</v>
      </c>
      <c r="H15" s="3" t="s">
        <v>212</v>
      </c>
      <c r="I15" s="3" t="s">
        <v>3275</v>
      </c>
      <c r="J15" s="3" t="s">
        <v>3276</v>
      </c>
      <c r="K15" s="3" t="s">
        <v>3277</v>
      </c>
      <c r="L15" s="3" t="s">
        <v>3278</v>
      </c>
      <c r="M15" s="26">
        <v>32011.0</v>
      </c>
      <c r="N15" s="3" t="s">
        <v>3279</v>
      </c>
      <c r="O15" s="3" t="s">
        <v>3280</v>
      </c>
      <c r="P15" s="3" t="s">
        <v>3281</v>
      </c>
      <c r="Q15" s="4"/>
      <c r="R15" s="4"/>
      <c r="S15" s="3" t="s">
        <v>3282</v>
      </c>
      <c r="T15" s="42" t="s">
        <v>3283</v>
      </c>
      <c r="U15" s="3" t="s">
        <v>3233</v>
      </c>
      <c r="V15" s="3" t="s">
        <v>3284</v>
      </c>
      <c r="W15" s="3" t="s">
        <v>2925</v>
      </c>
      <c r="X15" s="3" t="s">
        <v>3285</v>
      </c>
      <c r="Y15" s="3" t="s">
        <v>969</v>
      </c>
      <c r="Z15" s="3" t="s">
        <v>1928</v>
      </c>
      <c r="AA15" s="3" t="s">
        <v>971</v>
      </c>
      <c r="AB15" s="4"/>
      <c r="AC15" s="3" t="s">
        <v>3286</v>
      </c>
      <c r="AD15" s="3" t="s">
        <v>3287</v>
      </c>
      <c r="AE15" s="3" t="s">
        <v>3288</v>
      </c>
      <c r="AF15" s="3" t="s">
        <v>1250</v>
      </c>
      <c r="AG15" s="3" t="s">
        <v>1002</v>
      </c>
      <c r="AH15" s="3" t="s">
        <v>969</v>
      </c>
      <c r="AI15" s="3" t="s">
        <v>3289</v>
      </c>
      <c r="AJ15" s="3" t="s">
        <v>969</v>
      </c>
      <c r="AK15" s="3" t="s">
        <v>3290</v>
      </c>
      <c r="AL15" s="3" t="s">
        <v>3291</v>
      </c>
      <c r="AM15" s="3" t="s">
        <v>3292</v>
      </c>
      <c r="AN15" s="3" t="s">
        <v>3293</v>
      </c>
      <c r="AO15" s="3" t="s">
        <v>3294</v>
      </c>
      <c r="AP15" s="3" t="s">
        <v>3295</v>
      </c>
      <c r="AQ15" s="3" t="s">
        <v>3296</v>
      </c>
      <c r="AR15" s="3" t="s">
        <v>3297</v>
      </c>
      <c r="AS15" s="3" t="s">
        <v>969</v>
      </c>
      <c r="AT15" s="3" t="s">
        <v>969</v>
      </c>
      <c r="AU15" s="3" t="s">
        <v>1039</v>
      </c>
      <c r="AV15" s="3" t="s">
        <v>3298</v>
      </c>
      <c r="AW15" s="3" t="s">
        <v>1039</v>
      </c>
      <c r="AX15" s="3" t="s">
        <v>969</v>
      </c>
      <c r="AY15" s="27">
        <v>15.99</v>
      </c>
      <c r="AZ15" s="5" t="s">
        <v>1</v>
      </c>
      <c r="BA15" s="5" t="s">
        <v>43</v>
      </c>
    </row>
    <row r="16" ht="15.75" customHeight="1">
      <c r="A16" s="45">
        <v>15.0</v>
      </c>
      <c r="B16" s="24">
        <v>122.0</v>
      </c>
      <c r="C16" s="5" t="s">
        <v>1</v>
      </c>
      <c r="D16" s="3" t="s">
        <v>953</v>
      </c>
      <c r="E16" s="25">
        <v>46208.60763888889</v>
      </c>
      <c r="F16" s="3" t="s">
        <v>3299</v>
      </c>
      <c r="G16" s="3" t="s">
        <v>3300</v>
      </c>
      <c r="H16" s="3" t="s">
        <v>796</v>
      </c>
      <c r="I16" s="3" t="s">
        <v>796</v>
      </c>
      <c r="J16" s="3" t="s">
        <v>3301</v>
      </c>
      <c r="K16" s="3" t="s">
        <v>1128</v>
      </c>
      <c r="L16" s="3" t="s">
        <v>3302</v>
      </c>
      <c r="M16" s="26">
        <v>36005.0</v>
      </c>
      <c r="N16" s="3" t="s">
        <v>3303</v>
      </c>
      <c r="O16" s="3" t="s">
        <v>3304</v>
      </c>
      <c r="P16" s="3" t="s">
        <v>3305</v>
      </c>
      <c r="Q16" s="3" t="s">
        <v>3306</v>
      </c>
      <c r="R16" s="4"/>
      <c r="S16" s="3" t="s">
        <v>3307</v>
      </c>
      <c r="T16" s="3" t="s">
        <v>3308</v>
      </c>
      <c r="U16" s="3" t="s">
        <v>1050</v>
      </c>
      <c r="V16" s="3" t="s">
        <v>3309</v>
      </c>
      <c r="W16" s="3" t="s">
        <v>3310</v>
      </c>
      <c r="X16" s="3" t="s">
        <v>3311</v>
      </c>
      <c r="Y16" s="3" t="s">
        <v>969</v>
      </c>
      <c r="Z16" s="3" t="s">
        <v>1128</v>
      </c>
      <c r="AA16" s="3" t="s">
        <v>971</v>
      </c>
      <c r="AB16" s="4"/>
      <c r="AC16" s="3" t="s">
        <v>969</v>
      </c>
      <c r="AD16" s="3" t="s">
        <v>3312</v>
      </c>
      <c r="AE16" s="3" t="s">
        <v>3313</v>
      </c>
      <c r="AF16" s="3" t="s">
        <v>3314</v>
      </c>
      <c r="AG16" s="3" t="s">
        <v>1030</v>
      </c>
      <c r="AH16" s="3" t="s">
        <v>969</v>
      </c>
      <c r="AI16" s="3" t="s">
        <v>3315</v>
      </c>
      <c r="AJ16" s="3" t="s">
        <v>3316</v>
      </c>
      <c r="AK16" s="3" t="s">
        <v>3317</v>
      </c>
      <c r="AL16" s="3" t="s">
        <v>3318</v>
      </c>
      <c r="AM16" s="3" t="s">
        <v>3319</v>
      </c>
      <c r="AN16" s="3" t="s">
        <v>3320</v>
      </c>
      <c r="AO16" s="3" t="s">
        <v>3321</v>
      </c>
      <c r="AP16" s="3" t="s">
        <v>3322</v>
      </c>
      <c r="AQ16" s="3" t="s">
        <v>3323</v>
      </c>
      <c r="AR16" s="3" t="s">
        <v>3324</v>
      </c>
      <c r="AS16" s="3" t="s">
        <v>969</v>
      </c>
      <c r="AT16" s="3" t="s">
        <v>969</v>
      </c>
      <c r="AU16" s="3" t="s">
        <v>1039</v>
      </c>
      <c r="AV16" s="3" t="s">
        <v>3325</v>
      </c>
      <c r="AW16" s="3" t="s">
        <v>3326</v>
      </c>
      <c r="AX16" s="3" t="s">
        <v>969</v>
      </c>
      <c r="AY16" s="27">
        <v>15.99</v>
      </c>
      <c r="AZ16" s="5" t="s">
        <v>1</v>
      </c>
      <c r="BA16" s="5" t="s">
        <v>22</v>
      </c>
    </row>
    <row r="17" ht="15.75" customHeight="1">
      <c r="A17" s="45">
        <v>16.0</v>
      </c>
      <c r="B17" s="24">
        <v>118.0</v>
      </c>
      <c r="C17" s="5" t="s">
        <v>1</v>
      </c>
      <c r="D17" s="3" t="s">
        <v>953</v>
      </c>
      <c r="E17" s="25">
        <v>46208.16180555556</v>
      </c>
      <c r="F17" s="3" t="s">
        <v>200</v>
      </c>
      <c r="G17" s="3" t="s">
        <v>3327</v>
      </c>
      <c r="H17" s="3" t="s">
        <v>772</v>
      </c>
      <c r="I17" s="3" t="s">
        <v>772</v>
      </c>
      <c r="J17" s="3" t="s">
        <v>3328</v>
      </c>
      <c r="K17" s="3" t="s">
        <v>1916</v>
      </c>
      <c r="L17" s="3" t="s">
        <v>3329</v>
      </c>
      <c r="M17" s="26">
        <v>32051.0</v>
      </c>
      <c r="N17" s="3" t="s">
        <v>3330</v>
      </c>
      <c r="O17" s="3" t="s">
        <v>3331</v>
      </c>
      <c r="P17" s="4"/>
      <c r="Q17" s="3" t="s">
        <v>3332</v>
      </c>
      <c r="R17" s="4"/>
      <c r="S17" s="3" t="s">
        <v>3333</v>
      </c>
      <c r="T17" s="3" t="s">
        <v>3334</v>
      </c>
      <c r="U17" s="3" t="s">
        <v>1050</v>
      </c>
      <c r="V17" s="3" t="s">
        <v>3335</v>
      </c>
      <c r="W17" s="3" t="s">
        <v>3336</v>
      </c>
      <c r="X17" s="3" t="s">
        <v>3337</v>
      </c>
      <c r="Y17" s="3" t="s">
        <v>969</v>
      </c>
      <c r="Z17" s="3" t="s">
        <v>3050</v>
      </c>
      <c r="AA17" s="3" t="s">
        <v>971</v>
      </c>
      <c r="AB17" s="4"/>
      <c r="AC17" s="4"/>
      <c r="AD17" s="3" t="s">
        <v>3338</v>
      </c>
      <c r="AE17" s="3" t="s">
        <v>3339</v>
      </c>
      <c r="AF17" s="3" t="s">
        <v>3340</v>
      </c>
      <c r="AG17" s="3" t="s">
        <v>1302</v>
      </c>
      <c r="AH17" s="3" t="s">
        <v>971</v>
      </c>
      <c r="AI17" s="3" t="s">
        <v>3341</v>
      </c>
      <c r="AJ17" s="3" t="s">
        <v>971</v>
      </c>
      <c r="AK17" s="3" t="s">
        <v>3341</v>
      </c>
      <c r="AL17" s="3" t="s">
        <v>3342</v>
      </c>
      <c r="AM17" s="3" t="s">
        <v>3343</v>
      </c>
      <c r="AN17" s="3" t="s">
        <v>3344</v>
      </c>
      <c r="AO17" s="3" t="s">
        <v>1928</v>
      </c>
      <c r="AP17" s="3" t="s">
        <v>3345</v>
      </c>
      <c r="AQ17" s="3" t="s">
        <v>3346</v>
      </c>
      <c r="AR17" s="3" t="s">
        <v>3347</v>
      </c>
      <c r="AS17" s="3" t="s">
        <v>969</v>
      </c>
      <c r="AT17" s="3" t="s">
        <v>969</v>
      </c>
      <c r="AU17" s="3" t="s">
        <v>1039</v>
      </c>
      <c r="AV17" s="3" t="s">
        <v>3348</v>
      </c>
      <c r="AW17" s="42" t="s">
        <v>3349</v>
      </c>
      <c r="AX17" s="3" t="s">
        <v>969</v>
      </c>
      <c r="AY17" s="27">
        <v>15.99</v>
      </c>
      <c r="AZ17" s="5" t="s">
        <v>1</v>
      </c>
      <c r="BA17" s="5" t="s">
        <v>22</v>
      </c>
    </row>
    <row r="18" ht="15.75" customHeight="1">
      <c r="A18" s="45">
        <v>17.0</v>
      </c>
      <c r="B18" s="24">
        <v>93.0</v>
      </c>
      <c r="C18" s="5" t="s">
        <v>1</v>
      </c>
      <c r="D18" s="3" t="s">
        <v>953</v>
      </c>
      <c r="E18" s="25">
        <v>46204.59305555555</v>
      </c>
      <c r="F18" s="3" t="s">
        <v>3350</v>
      </c>
      <c r="G18" s="3" t="s">
        <v>3350</v>
      </c>
      <c r="H18" s="3" t="s">
        <v>511</v>
      </c>
      <c r="I18" s="3" t="s">
        <v>3351</v>
      </c>
      <c r="J18" s="3" t="s">
        <v>3352</v>
      </c>
      <c r="K18" s="3" t="s">
        <v>1690</v>
      </c>
      <c r="L18" s="3" t="s">
        <v>3353</v>
      </c>
      <c r="M18" s="26">
        <v>37148.0</v>
      </c>
      <c r="N18" s="3" t="s">
        <v>3354</v>
      </c>
      <c r="O18" s="3" t="s">
        <v>3355</v>
      </c>
      <c r="P18" s="3" t="s">
        <v>3356</v>
      </c>
      <c r="Q18" s="4"/>
      <c r="R18" s="4"/>
      <c r="S18" s="3" t="s">
        <v>3357</v>
      </c>
      <c r="T18" s="3" t="s">
        <v>3358</v>
      </c>
      <c r="U18" s="3" t="s">
        <v>1124</v>
      </c>
      <c r="V18" s="3" t="s">
        <v>3359</v>
      </c>
      <c r="W18" s="4"/>
      <c r="X18" s="3" t="s">
        <v>3360</v>
      </c>
      <c r="Y18" s="3" t="s">
        <v>969</v>
      </c>
      <c r="Z18" s="3" t="s">
        <v>1690</v>
      </c>
      <c r="AA18" s="3" t="s">
        <v>971</v>
      </c>
      <c r="AB18" s="4"/>
      <c r="AC18" s="4"/>
      <c r="AD18" s="3" t="s">
        <v>3361</v>
      </c>
      <c r="AE18" s="3" t="s">
        <v>3362</v>
      </c>
      <c r="AF18" s="3" t="s">
        <v>1250</v>
      </c>
      <c r="AG18" s="3" t="s">
        <v>3341</v>
      </c>
      <c r="AH18" s="3" t="s">
        <v>971</v>
      </c>
      <c r="AI18" s="4"/>
      <c r="AJ18" s="4"/>
      <c r="AK18" s="4"/>
      <c r="AL18" s="3" t="s">
        <v>3363</v>
      </c>
      <c r="AM18" s="3" t="s">
        <v>3364</v>
      </c>
      <c r="AN18" s="3" t="s">
        <v>3365</v>
      </c>
      <c r="AO18" s="3" t="s">
        <v>3366</v>
      </c>
      <c r="AP18" s="3" t="s">
        <v>3367</v>
      </c>
      <c r="AQ18" s="3" t="s">
        <v>3368</v>
      </c>
      <c r="AR18" s="3" t="s">
        <v>3369</v>
      </c>
      <c r="AS18" s="3" t="s">
        <v>969</v>
      </c>
      <c r="AT18" s="3" t="s">
        <v>969</v>
      </c>
      <c r="AU18" s="3" t="s">
        <v>1039</v>
      </c>
      <c r="AV18" s="3" t="s">
        <v>3370</v>
      </c>
      <c r="AW18" s="4"/>
      <c r="AX18" s="3" t="s">
        <v>969</v>
      </c>
      <c r="AY18" s="27">
        <v>15.99</v>
      </c>
      <c r="AZ18" s="5" t="s">
        <v>1</v>
      </c>
      <c r="BA18" s="5" t="s">
        <v>162</v>
      </c>
    </row>
    <row r="19" ht="15.75" customHeight="1">
      <c r="A19" s="45">
        <v>18.0</v>
      </c>
      <c r="B19" s="24">
        <v>92.0</v>
      </c>
      <c r="C19" s="5" t="s">
        <v>1</v>
      </c>
      <c r="D19" s="3" t="s">
        <v>953</v>
      </c>
      <c r="E19" s="25">
        <v>46204.58333333334</v>
      </c>
      <c r="F19" s="3" t="s">
        <v>3371</v>
      </c>
      <c r="G19" s="3" t="s">
        <v>3371</v>
      </c>
      <c r="H19" s="3" t="s">
        <v>526</v>
      </c>
      <c r="I19" s="3" t="s">
        <v>3372</v>
      </c>
      <c r="J19" s="3" t="s">
        <v>3373</v>
      </c>
      <c r="K19" s="3" t="s">
        <v>2348</v>
      </c>
      <c r="L19" s="3" t="s">
        <v>3374</v>
      </c>
      <c r="M19" s="26">
        <v>37899.0</v>
      </c>
      <c r="N19" s="3" t="s">
        <v>3375</v>
      </c>
      <c r="O19" s="3" t="s">
        <v>3376</v>
      </c>
      <c r="P19" s="3" t="s">
        <v>3377</v>
      </c>
      <c r="Q19" s="4"/>
      <c r="R19" s="4"/>
      <c r="S19" s="3" t="s">
        <v>1605</v>
      </c>
      <c r="T19" s="3" t="s">
        <v>3378</v>
      </c>
      <c r="U19" s="3" t="s">
        <v>1396</v>
      </c>
      <c r="V19" s="3" t="s">
        <v>1185</v>
      </c>
      <c r="W19" s="3" t="s">
        <v>3379</v>
      </c>
      <c r="X19" s="3" t="s">
        <v>3380</v>
      </c>
      <c r="Y19" s="3" t="s">
        <v>969</v>
      </c>
      <c r="Z19" s="3" t="s">
        <v>3381</v>
      </c>
      <c r="AA19" s="3" t="s">
        <v>971</v>
      </c>
      <c r="AB19" s="4"/>
      <c r="AC19" s="3" t="s">
        <v>969</v>
      </c>
      <c r="AD19" s="3" t="s">
        <v>3382</v>
      </c>
      <c r="AE19" s="4"/>
      <c r="AF19" s="3" t="s">
        <v>3383</v>
      </c>
      <c r="AG19" s="4"/>
      <c r="AH19" s="3" t="s">
        <v>971</v>
      </c>
      <c r="AI19" s="4"/>
      <c r="AJ19" s="4"/>
      <c r="AK19" s="4"/>
      <c r="AL19" s="3" t="s">
        <v>3384</v>
      </c>
      <c r="AM19" s="3" t="s">
        <v>3385</v>
      </c>
      <c r="AN19" s="3" t="s">
        <v>3386</v>
      </c>
      <c r="AO19" s="3" t="s">
        <v>3387</v>
      </c>
      <c r="AP19" s="3" t="s">
        <v>3388</v>
      </c>
      <c r="AQ19" s="3" t="s">
        <v>3389</v>
      </c>
      <c r="AR19" s="3" t="s">
        <v>3390</v>
      </c>
      <c r="AS19" s="3" t="s">
        <v>969</v>
      </c>
      <c r="AT19" s="3" t="s">
        <v>969</v>
      </c>
      <c r="AU19" s="3" t="s">
        <v>1039</v>
      </c>
      <c r="AV19" s="3" t="s">
        <v>3391</v>
      </c>
      <c r="AW19" s="4"/>
      <c r="AX19" s="3" t="s">
        <v>969</v>
      </c>
      <c r="AY19" s="27">
        <v>15.99</v>
      </c>
      <c r="AZ19" s="5" t="s">
        <v>1</v>
      </c>
      <c r="BA19" s="5" t="s">
        <v>22</v>
      </c>
    </row>
    <row r="20" ht="15.75" customHeight="1">
      <c r="A20" s="45">
        <v>19.0</v>
      </c>
      <c r="B20" s="24">
        <v>81.0</v>
      </c>
      <c r="C20" s="5" t="s">
        <v>1</v>
      </c>
      <c r="D20" s="3" t="s">
        <v>953</v>
      </c>
      <c r="E20" s="25">
        <v>46202.15902777778</v>
      </c>
      <c r="F20" s="3" t="s">
        <v>3392</v>
      </c>
      <c r="G20" s="3" t="s">
        <v>3393</v>
      </c>
      <c r="H20" s="3" t="s">
        <v>466</v>
      </c>
      <c r="I20" s="3" t="s">
        <v>3394</v>
      </c>
      <c r="J20" s="42" t="s">
        <v>3395</v>
      </c>
      <c r="K20" s="3" t="s">
        <v>3396</v>
      </c>
      <c r="L20" s="3" t="s">
        <v>3397</v>
      </c>
      <c r="M20" s="26">
        <v>37606.0</v>
      </c>
      <c r="N20" s="3" t="s">
        <v>3398</v>
      </c>
      <c r="O20" s="3" t="s">
        <v>3399</v>
      </c>
      <c r="P20" s="4"/>
      <c r="Q20" s="4"/>
      <c r="R20" s="4"/>
      <c r="S20" s="3" t="s">
        <v>3400</v>
      </c>
      <c r="T20" s="3" t="s">
        <v>3401</v>
      </c>
      <c r="U20" s="3" t="s">
        <v>3402</v>
      </c>
      <c r="V20" s="3" t="s">
        <v>3403</v>
      </c>
      <c r="W20" s="3" t="s">
        <v>3404</v>
      </c>
      <c r="X20" s="3" t="s">
        <v>3405</v>
      </c>
      <c r="Y20" s="3" t="s">
        <v>969</v>
      </c>
      <c r="Z20" s="3" t="s">
        <v>2753</v>
      </c>
      <c r="AA20" s="3" t="s">
        <v>971</v>
      </c>
      <c r="AB20" s="4"/>
      <c r="AC20" s="3" t="s">
        <v>969</v>
      </c>
      <c r="AD20" s="3" t="s">
        <v>3406</v>
      </c>
      <c r="AE20" s="4"/>
      <c r="AF20" s="3" t="s">
        <v>3407</v>
      </c>
      <c r="AG20" s="3" t="s">
        <v>3408</v>
      </c>
      <c r="AH20" s="3" t="s">
        <v>971</v>
      </c>
      <c r="AI20" s="4"/>
      <c r="AJ20" s="3" t="s">
        <v>3409</v>
      </c>
      <c r="AK20" s="3" t="s">
        <v>3410</v>
      </c>
      <c r="AL20" s="3" t="s">
        <v>3411</v>
      </c>
      <c r="AM20" s="3" t="s">
        <v>3412</v>
      </c>
      <c r="AN20" s="3" t="s">
        <v>3413</v>
      </c>
      <c r="AO20" s="3" t="s">
        <v>3414</v>
      </c>
      <c r="AP20" s="3" t="s">
        <v>3415</v>
      </c>
      <c r="AQ20" s="3" t="s">
        <v>3416</v>
      </c>
      <c r="AR20" s="3" t="s">
        <v>3417</v>
      </c>
      <c r="AS20" s="3" t="s">
        <v>969</v>
      </c>
      <c r="AT20" s="3" t="s">
        <v>969</v>
      </c>
      <c r="AU20" s="3" t="s">
        <v>1039</v>
      </c>
      <c r="AV20" s="3" t="s">
        <v>2889</v>
      </c>
      <c r="AW20" s="3" t="s">
        <v>3418</v>
      </c>
      <c r="AX20" s="3" t="s">
        <v>969</v>
      </c>
      <c r="AY20" s="27">
        <v>15.99</v>
      </c>
      <c r="AZ20" s="5" t="s">
        <v>1</v>
      </c>
      <c r="BA20" s="5" t="s">
        <v>22</v>
      </c>
    </row>
    <row r="21" ht="15.75" customHeight="1">
      <c r="A21" s="45">
        <v>20.0</v>
      </c>
      <c r="B21" s="24">
        <v>72.0</v>
      </c>
      <c r="C21" s="5" t="s">
        <v>1</v>
      </c>
      <c r="D21" s="3" t="s">
        <v>953</v>
      </c>
      <c r="E21" s="25">
        <v>46198.50694444445</v>
      </c>
      <c r="F21" s="3" t="s">
        <v>118</v>
      </c>
      <c r="G21" s="3" t="s">
        <v>3419</v>
      </c>
      <c r="H21" s="3" t="s">
        <v>3420</v>
      </c>
      <c r="I21" s="3" t="s">
        <v>3421</v>
      </c>
      <c r="J21" s="3" t="s">
        <v>3422</v>
      </c>
      <c r="K21" s="3" t="s">
        <v>2188</v>
      </c>
      <c r="L21" s="3" t="s">
        <v>3423</v>
      </c>
      <c r="M21" s="26">
        <v>38797.0</v>
      </c>
      <c r="N21" s="3" t="s">
        <v>3424</v>
      </c>
      <c r="O21" s="3" t="s">
        <v>3425</v>
      </c>
      <c r="P21" s="4"/>
      <c r="Q21" s="4"/>
      <c r="R21" s="4"/>
      <c r="S21" s="3" t="s">
        <v>1605</v>
      </c>
      <c r="T21" s="3" t="s">
        <v>3426</v>
      </c>
      <c r="U21" s="3" t="s">
        <v>3427</v>
      </c>
      <c r="V21" s="3" t="s">
        <v>3428</v>
      </c>
      <c r="W21" s="3" t="s">
        <v>3429</v>
      </c>
      <c r="X21" s="3" t="s">
        <v>3430</v>
      </c>
      <c r="Y21" s="3" t="s">
        <v>969</v>
      </c>
      <c r="Z21" s="3" t="s">
        <v>1952</v>
      </c>
      <c r="AA21" s="3" t="s">
        <v>971</v>
      </c>
      <c r="AB21" s="4"/>
      <c r="AC21" s="3" t="s">
        <v>6</v>
      </c>
      <c r="AD21" s="3" t="s">
        <v>3431</v>
      </c>
      <c r="AE21" s="3" t="s">
        <v>3432</v>
      </c>
      <c r="AF21" s="3" t="s">
        <v>1250</v>
      </c>
      <c r="AG21" s="3" t="s">
        <v>3433</v>
      </c>
      <c r="AH21" s="3" t="s">
        <v>971</v>
      </c>
      <c r="AI21" s="4"/>
      <c r="AJ21" s="4"/>
      <c r="AK21" s="4"/>
      <c r="AL21" s="3" t="s">
        <v>3434</v>
      </c>
      <c r="AM21" s="3" t="s">
        <v>3435</v>
      </c>
      <c r="AN21" s="3" t="s">
        <v>3436</v>
      </c>
      <c r="AO21" s="3" t="s">
        <v>3437</v>
      </c>
      <c r="AP21" s="3" t="s">
        <v>3438</v>
      </c>
      <c r="AQ21" s="3" t="s">
        <v>3439</v>
      </c>
      <c r="AR21" s="3" t="s">
        <v>3440</v>
      </c>
      <c r="AS21" s="3" t="s">
        <v>969</v>
      </c>
      <c r="AT21" s="3" t="s">
        <v>969</v>
      </c>
      <c r="AU21" s="3" t="s">
        <v>1039</v>
      </c>
      <c r="AV21" s="3" t="s">
        <v>1261</v>
      </c>
      <c r="AW21" s="3" t="s">
        <v>1499</v>
      </c>
      <c r="AX21" s="3" t="s">
        <v>969</v>
      </c>
      <c r="AY21" s="27">
        <v>15.99</v>
      </c>
      <c r="AZ21" s="5" t="s">
        <v>1</v>
      </c>
      <c r="BA21" s="5" t="s">
        <v>43</v>
      </c>
    </row>
    <row r="22" ht="15.75" customHeight="1">
      <c r="A22" s="45">
        <v>21.0</v>
      </c>
      <c r="B22" s="24">
        <v>71.0</v>
      </c>
      <c r="C22" s="5" t="s">
        <v>1</v>
      </c>
      <c r="D22" s="3" t="s">
        <v>953</v>
      </c>
      <c r="E22" s="25">
        <v>46198.42847222222</v>
      </c>
      <c r="F22" s="3" t="s">
        <v>116</v>
      </c>
      <c r="G22" s="3" t="s">
        <v>116</v>
      </c>
      <c r="H22" s="3" t="s">
        <v>3441</v>
      </c>
      <c r="I22" s="3" t="s">
        <v>3442</v>
      </c>
      <c r="J22" s="3" t="s">
        <v>3443</v>
      </c>
      <c r="K22" s="3" t="s">
        <v>1128</v>
      </c>
      <c r="L22" s="3" t="s">
        <v>3444</v>
      </c>
      <c r="M22" s="26">
        <v>32548.0</v>
      </c>
      <c r="N22" s="3" t="s">
        <v>3445</v>
      </c>
      <c r="O22" s="3" t="s">
        <v>3446</v>
      </c>
      <c r="P22" s="4"/>
      <c r="Q22" s="4"/>
      <c r="R22" s="3" t="s">
        <v>3447</v>
      </c>
      <c r="S22" s="3" t="s">
        <v>3448</v>
      </c>
      <c r="T22" s="3" t="s">
        <v>3449</v>
      </c>
      <c r="U22" s="3" t="s">
        <v>3233</v>
      </c>
      <c r="V22" s="3" t="s">
        <v>3450</v>
      </c>
      <c r="W22" s="3" t="s">
        <v>3451</v>
      </c>
      <c r="X22" s="3" t="s">
        <v>3452</v>
      </c>
      <c r="Y22" s="3" t="s">
        <v>969</v>
      </c>
      <c r="Z22" s="3" t="s">
        <v>1128</v>
      </c>
      <c r="AA22" s="3" t="s">
        <v>969</v>
      </c>
      <c r="AB22" s="3" t="s">
        <v>3453</v>
      </c>
      <c r="AC22" s="3" t="s">
        <v>969</v>
      </c>
      <c r="AD22" s="3" t="s">
        <v>966</v>
      </c>
      <c r="AE22" s="4"/>
      <c r="AF22" s="4"/>
      <c r="AG22" s="4"/>
      <c r="AH22" s="3" t="s">
        <v>969</v>
      </c>
      <c r="AI22" s="3" t="s">
        <v>1669</v>
      </c>
      <c r="AJ22" s="3" t="s">
        <v>966</v>
      </c>
      <c r="AK22" s="4"/>
      <c r="AL22" s="3" t="s">
        <v>1669</v>
      </c>
      <c r="AM22" s="3" t="s">
        <v>3454</v>
      </c>
      <c r="AN22" s="3" t="s">
        <v>3455</v>
      </c>
      <c r="AO22" s="3" t="s">
        <v>3456</v>
      </c>
      <c r="AP22" s="3" t="s">
        <v>3457</v>
      </c>
      <c r="AQ22" s="3" t="s">
        <v>3458</v>
      </c>
      <c r="AR22" s="3" t="s">
        <v>3459</v>
      </c>
      <c r="AS22" s="3" t="s">
        <v>969</v>
      </c>
      <c r="AT22" s="3" t="s">
        <v>969</v>
      </c>
      <c r="AU22" s="3" t="s">
        <v>1039</v>
      </c>
      <c r="AV22" s="3" t="s">
        <v>3460</v>
      </c>
      <c r="AW22" s="3" t="s">
        <v>3461</v>
      </c>
      <c r="AX22" s="3" t="s">
        <v>969</v>
      </c>
      <c r="AY22" s="27">
        <v>15.99</v>
      </c>
      <c r="AZ22" s="5" t="s">
        <v>1</v>
      </c>
      <c r="BA22" s="5" t="s">
        <v>22</v>
      </c>
    </row>
    <row r="23" ht="15.75" customHeight="1">
      <c r="A23" s="45">
        <v>22.0</v>
      </c>
      <c r="B23" s="24">
        <v>66.0</v>
      </c>
      <c r="C23" s="5" t="s">
        <v>1</v>
      </c>
      <c r="D23" s="3" t="s">
        <v>953</v>
      </c>
      <c r="E23" s="25">
        <v>46197.07847222222</v>
      </c>
      <c r="F23" s="3" t="s">
        <v>105</v>
      </c>
      <c r="G23" s="3" t="s">
        <v>3462</v>
      </c>
      <c r="H23" s="3" t="s">
        <v>106</v>
      </c>
      <c r="I23" s="3" t="s">
        <v>3463</v>
      </c>
      <c r="J23" s="3" t="s">
        <v>3464</v>
      </c>
      <c r="K23" s="3" t="s">
        <v>2348</v>
      </c>
      <c r="L23" s="3" t="s">
        <v>3465</v>
      </c>
      <c r="M23" s="26">
        <v>37930.0</v>
      </c>
      <c r="N23" s="3" t="s">
        <v>3466</v>
      </c>
      <c r="O23" s="3" t="s">
        <v>3467</v>
      </c>
      <c r="P23" s="4"/>
      <c r="Q23" s="3" t="s">
        <v>3468</v>
      </c>
      <c r="R23" s="4"/>
      <c r="S23" s="3" t="s">
        <v>3469</v>
      </c>
      <c r="T23" s="3" t="s">
        <v>3470</v>
      </c>
      <c r="U23" s="3" t="s">
        <v>1271</v>
      </c>
      <c r="V23" s="3" t="s">
        <v>3471</v>
      </c>
      <c r="W23" s="3" t="s">
        <v>3472</v>
      </c>
      <c r="X23" s="3" t="s">
        <v>3473</v>
      </c>
      <c r="Y23" s="3" t="s">
        <v>969</v>
      </c>
      <c r="Z23" s="3" t="s">
        <v>2332</v>
      </c>
      <c r="AA23" s="3" t="s">
        <v>971</v>
      </c>
      <c r="AB23" s="3" t="s">
        <v>3473</v>
      </c>
      <c r="AC23" s="3" t="s">
        <v>969</v>
      </c>
      <c r="AD23" s="3" t="s">
        <v>971</v>
      </c>
      <c r="AE23" s="3" t="s">
        <v>2564</v>
      </c>
      <c r="AF23" s="3" t="s">
        <v>1684</v>
      </c>
      <c r="AG23" s="3" t="s">
        <v>3341</v>
      </c>
      <c r="AH23" s="3" t="s">
        <v>971</v>
      </c>
      <c r="AI23" s="3" t="s">
        <v>1684</v>
      </c>
      <c r="AJ23" s="3" t="s">
        <v>971</v>
      </c>
      <c r="AK23" s="3" t="s">
        <v>1684</v>
      </c>
      <c r="AL23" s="3" t="s">
        <v>3474</v>
      </c>
      <c r="AM23" s="3" t="s">
        <v>3475</v>
      </c>
      <c r="AN23" s="3" t="s">
        <v>3476</v>
      </c>
      <c r="AO23" s="3" t="s">
        <v>3477</v>
      </c>
      <c r="AP23" s="3" t="s">
        <v>3478</v>
      </c>
      <c r="AQ23" s="3" t="s">
        <v>3479</v>
      </c>
      <c r="AR23" s="3" t="s">
        <v>3480</v>
      </c>
      <c r="AS23" s="3" t="s">
        <v>969</v>
      </c>
      <c r="AT23" s="3" t="s">
        <v>969</v>
      </c>
      <c r="AU23" s="3" t="s">
        <v>1039</v>
      </c>
      <c r="AV23" s="3" t="s">
        <v>1649</v>
      </c>
      <c r="AW23" s="3" t="s">
        <v>3481</v>
      </c>
      <c r="AX23" s="3" t="s">
        <v>969</v>
      </c>
      <c r="AY23" s="27">
        <v>15.99</v>
      </c>
      <c r="AZ23" s="5" t="s">
        <v>1</v>
      </c>
      <c r="BA23" s="5" t="s">
        <v>7</v>
      </c>
    </row>
    <row r="24" ht="15.75" customHeight="1">
      <c r="A24" s="45">
        <v>23.0</v>
      </c>
      <c r="B24" s="24">
        <v>62.0</v>
      </c>
      <c r="C24" s="5" t="s">
        <v>1</v>
      </c>
      <c r="D24" s="3" t="s">
        <v>953</v>
      </c>
      <c r="E24" s="25">
        <v>46195.89236111111</v>
      </c>
      <c r="F24" s="3" t="s">
        <v>3482</v>
      </c>
      <c r="G24" s="3" t="s">
        <v>3482</v>
      </c>
      <c r="H24" s="3" t="s">
        <v>777</v>
      </c>
      <c r="I24" s="3" t="s">
        <v>3483</v>
      </c>
      <c r="J24" s="3" t="s">
        <v>3484</v>
      </c>
      <c r="K24" s="3" t="s">
        <v>3485</v>
      </c>
      <c r="L24" s="3" t="s">
        <v>3486</v>
      </c>
      <c r="M24" s="26">
        <v>32696.0</v>
      </c>
      <c r="N24" s="3" t="s">
        <v>3487</v>
      </c>
      <c r="O24" s="3" t="s">
        <v>3488</v>
      </c>
      <c r="P24" s="3" t="s">
        <v>3482</v>
      </c>
      <c r="Q24" s="3" t="s">
        <v>3489</v>
      </c>
      <c r="R24" s="3" t="s">
        <v>3489</v>
      </c>
      <c r="S24" s="3" t="s">
        <v>3490</v>
      </c>
      <c r="T24" s="3" t="s">
        <v>3491</v>
      </c>
      <c r="U24" s="3" t="s">
        <v>1124</v>
      </c>
      <c r="V24" s="3" t="s">
        <v>1715</v>
      </c>
      <c r="W24" s="3" t="s">
        <v>3492</v>
      </c>
      <c r="X24" s="3" t="s">
        <v>3493</v>
      </c>
      <c r="Y24" s="3" t="s">
        <v>971</v>
      </c>
      <c r="Z24" s="3" t="s">
        <v>1425</v>
      </c>
      <c r="AA24" s="3" t="s">
        <v>971</v>
      </c>
      <c r="AB24" s="3" t="s">
        <v>3493</v>
      </c>
      <c r="AC24" s="3" t="s">
        <v>969</v>
      </c>
      <c r="AD24" s="3" t="s">
        <v>3494</v>
      </c>
      <c r="AE24" s="4"/>
      <c r="AF24" s="4"/>
      <c r="AG24" s="4"/>
      <c r="AH24" s="3" t="s">
        <v>969</v>
      </c>
      <c r="AI24" s="3" t="s">
        <v>3495</v>
      </c>
      <c r="AJ24" s="4"/>
      <c r="AK24" s="4"/>
      <c r="AL24" s="3" t="s">
        <v>3496</v>
      </c>
      <c r="AM24" s="3" t="s">
        <v>3497</v>
      </c>
      <c r="AN24" s="3" t="s">
        <v>3498</v>
      </c>
      <c r="AO24" s="3" t="s">
        <v>3499</v>
      </c>
      <c r="AP24" s="3" t="s">
        <v>3500</v>
      </c>
      <c r="AQ24" s="3" t="s">
        <v>3501</v>
      </c>
      <c r="AR24" s="3" t="s">
        <v>3502</v>
      </c>
      <c r="AS24" s="3" t="s">
        <v>969</v>
      </c>
      <c r="AT24" s="3" t="s">
        <v>969</v>
      </c>
      <c r="AU24" s="3" t="s">
        <v>1039</v>
      </c>
      <c r="AV24" s="3" t="s">
        <v>3503</v>
      </c>
      <c r="AW24" s="3" t="s">
        <v>3504</v>
      </c>
      <c r="AX24" s="3" t="s">
        <v>969</v>
      </c>
      <c r="AY24" s="27">
        <v>15.99</v>
      </c>
      <c r="AZ24" s="5" t="s">
        <v>1</v>
      </c>
      <c r="BA24" s="5" t="s">
        <v>22</v>
      </c>
    </row>
    <row r="25" ht="15.75" customHeight="1">
      <c r="A25" s="45">
        <v>24.0</v>
      </c>
      <c r="B25" s="24">
        <v>61.0</v>
      </c>
      <c r="C25" s="5" t="s">
        <v>1</v>
      </c>
      <c r="D25" s="3" t="s">
        <v>953</v>
      </c>
      <c r="E25" s="25">
        <v>46195.18958333333</v>
      </c>
      <c r="F25" s="3" t="s">
        <v>3505</v>
      </c>
      <c r="G25" s="3" t="s">
        <v>3505</v>
      </c>
      <c r="H25" s="3" t="s">
        <v>692</v>
      </c>
      <c r="I25" s="3" t="s">
        <v>3506</v>
      </c>
      <c r="J25" s="3" t="s">
        <v>3507</v>
      </c>
      <c r="K25" s="3" t="s">
        <v>2223</v>
      </c>
      <c r="L25" s="3" t="s">
        <v>3508</v>
      </c>
      <c r="M25" s="26">
        <v>34963.0</v>
      </c>
      <c r="N25" s="3" t="s">
        <v>3509</v>
      </c>
      <c r="O25" s="3" t="s">
        <v>3510</v>
      </c>
      <c r="P25" s="4"/>
      <c r="Q25" s="4"/>
      <c r="R25" s="4"/>
      <c r="S25" s="3" t="s">
        <v>3511</v>
      </c>
      <c r="T25" s="3" t="s">
        <v>3512</v>
      </c>
      <c r="U25" s="3" t="s">
        <v>1271</v>
      </c>
      <c r="V25" s="3" t="s">
        <v>2821</v>
      </c>
      <c r="W25" s="3" t="s">
        <v>3513</v>
      </c>
      <c r="X25" s="3" t="s">
        <v>3514</v>
      </c>
      <c r="Y25" s="3" t="s">
        <v>969</v>
      </c>
      <c r="Z25" s="3" t="s">
        <v>1874</v>
      </c>
      <c r="AA25" s="3" t="s">
        <v>969</v>
      </c>
      <c r="AB25" s="3" t="s">
        <v>1583</v>
      </c>
      <c r="AC25" s="3" t="s">
        <v>969</v>
      </c>
      <c r="AD25" s="3" t="s">
        <v>3515</v>
      </c>
      <c r="AE25" s="3" t="s">
        <v>3516</v>
      </c>
      <c r="AF25" s="3" t="s">
        <v>3517</v>
      </c>
      <c r="AG25" s="3" t="s">
        <v>1541</v>
      </c>
      <c r="AH25" s="3" t="s">
        <v>969</v>
      </c>
      <c r="AI25" s="3" t="s">
        <v>3518</v>
      </c>
      <c r="AJ25" s="3" t="s">
        <v>2733</v>
      </c>
      <c r="AK25" s="4"/>
      <c r="AL25" s="3" t="s">
        <v>3519</v>
      </c>
      <c r="AM25" s="3" t="s">
        <v>3520</v>
      </c>
      <c r="AN25" s="3" t="s">
        <v>3521</v>
      </c>
      <c r="AO25" s="3" t="s">
        <v>3522</v>
      </c>
      <c r="AP25" s="3" t="s">
        <v>3523</v>
      </c>
      <c r="AQ25" s="3" t="s">
        <v>3524</v>
      </c>
      <c r="AR25" s="3" t="s">
        <v>3525</v>
      </c>
      <c r="AS25" s="3" t="s">
        <v>969</v>
      </c>
      <c r="AT25" s="3" t="s">
        <v>971</v>
      </c>
      <c r="AU25" s="3" t="s">
        <v>1260</v>
      </c>
      <c r="AV25" s="3" t="s">
        <v>2836</v>
      </c>
      <c r="AW25" s="3" t="s">
        <v>3526</v>
      </c>
      <c r="AX25" s="3" t="s">
        <v>969</v>
      </c>
      <c r="AY25" s="27">
        <v>15.99</v>
      </c>
      <c r="AZ25" s="5" t="s">
        <v>1</v>
      </c>
      <c r="BA25" s="5" t="s">
        <v>22</v>
      </c>
    </row>
    <row r="26" ht="15.75" customHeight="1">
      <c r="A26" s="45">
        <v>25.0</v>
      </c>
      <c r="B26" s="24">
        <v>59.0</v>
      </c>
      <c r="C26" s="5" t="s">
        <v>1</v>
      </c>
      <c r="D26" s="3" t="s">
        <v>953</v>
      </c>
      <c r="E26" s="25">
        <v>46195.02777777778</v>
      </c>
      <c r="F26" s="3" t="s">
        <v>3527</v>
      </c>
      <c r="G26" s="3" t="s">
        <v>3528</v>
      </c>
      <c r="H26" s="3" t="s">
        <v>462</v>
      </c>
      <c r="I26" s="3" t="s">
        <v>462</v>
      </c>
      <c r="J26" s="3" t="s">
        <v>3529</v>
      </c>
      <c r="K26" s="3" t="s">
        <v>2579</v>
      </c>
      <c r="L26" s="3" t="s">
        <v>3530</v>
      </c>
      <c r="M26" s="26">
        <v>37282.0</v>
      </c>
      <c r="N26" s="3" t="s">
        <v>3531</v>
      </c>
      <c r="O26" s="3" t="s">
        <v>3530</v>
      </c>
      <c r="P26" s="4"/>
      <c r="Q26" s="4"/>
      <c r="R26" s="4"/>
      <c r="S26" s="3" t="s">
        <v>3532</v>
      </c>
      <c r="T26" s="3" t="s">
        <v>3533</v>
      </c>
      <c r="U26" s="3" t="s">
        <v>3534</v>
      </c>
      <c r="V26" s="3" t="s">
        <v>3535</v>
      </c>
      <c r="W26" s="3" t="s">
        <v>3536</v>
      </c>
      <c r="X26" s="3" t="s">
        <v>3537</v>
      </c>
      <c r="Y26" s="3" t="s">
        <v>969</v>
      </c>
      <c r="Z26" s="3" t="s">
        <v>1900</v>
      </c>
      <c r="AA26" s="3" t="s">
        <v>971</v>
      </c>
      <c r="AB26" s="4"/>
      <c r="AC26" s="3" t="s">
        <v>3538</v>
      </c>
      <c r="AD26" s="3" t="s">
        <v>3539</v>
      </c>
      <c r="AE26" s="4"/>
      <c r="AF26" s="3" t="s">
        <v>1250</v>
      </c>
      <c r="AG26" s="3" t="s">
        <v>1904</v>
      </c>
      <c r="AH26" s="3" t="s">
        <v>971</v>
      </c>
      <c r="AI26" s="4"/>
      <c r="AJ26" s="3" t="s">
        <v>971</v>
      </c>
      <c r="AK26" s="4"/>
      <c r="AL26" s="3" t="s">
        <v>3540</v>
      </c>
      <c r="AM26" s="3" t="s">
        <v>3541</v>
      </c>
      <c r="AN26" s="3" t="s">
        <v>3542</v>
      </c>
      <c r="AO26" s="3" t="s">
        <v>3543</v>
      </c>
      <c r="AP26" s="3" t="s">
        <v>3544</v>
      </c>
      <c r="AQ26" s="3" t="s">
        <v>3545</v>
      </c>
      <c r="AR26" s="3" t="s">
        <v>3546</v>
      </c>
      <c r="AS26" s="3" t="s">
        <v>969</v>
      </c>
      <c r="AT26" s="3" t="s">
        <v>969</v>
      </c>
      <c r="AU26" s="3" t="s">
        <v>1409</v>
      </c>
      <c r="AV26" s="3" t="s">
        <v>3547</v>
      </c>
      <c r="AW26" s="3" t="s">
        <v>3548</v>
      </c>
      <c r="AX26" s="3" t="s">
        <v>969</v>
      </c>
      <c r="AY26" s="27">
        <v>15.99</v>
      </c>
      <c r="AZ26" s="5" t="s">
        <v>1</v>
      </c>
      <c r="BA26" s="5" t="s">
        <v>94</v>
      </c>
    </row>
    <row r="27" ht="15.75" customHeight="1">
      <c r="A27" s="45">
        <v>26.0</v>
      </c>
      <c r="B27" s="24">
        <v>50.0</v>
      </c>
      <c r="C27" s="5" t="s">
        <v>1</v>
      </c>
      <c r="D27" s="3" t="s">
        <v>953</v>
      </c>
      <c r="E27" s="25">
        <v>46191.85833333333</v>
      </c>
      <c r="F27" s="3" t="s">
        <v>869</v>
      </c>
      <c r="G27" s="3" t="s">
        <v>3549</v>
      </c>
      <c r="H27" s="3" t="s">
        <v>75</v>
      </c>
      <c r="I27" s="3" t="s">
        <v>75</v>
      </c>
      <c r="J27" s="3" t="s">
        <v>3550</v>
      </c>
      <c r="K27" s="3" t="s">
        <v>3551</v>
      </c>
      <c r="L27" s="3" t="s">
        <v>3552</v>
      </c>
      <c r="M27" s="26">
        <v>32258.0</v>
      </c>
      <c r="N27" s="3" t="s">
        <v>3553</v>
      </c>
      <c r="O27" s="3" t="s">
        <v>3554</v>
      </c>
      <c r="P27" s="3" t="s">
        <v>3555</v>
      </c>
      <c r="Q27" s="4"/>
      <c r="R27" s="3" t="s">
        <v>3556</v>
      </c>
      <c r="S27" s="3" t="s">
        <v>3557</v>
      </c>
      <c r="T27" s="3" t="s">
        <v>3558</v>
      </c>
      <c r="U27" s="3" t="s">
        <v>1397</v>
      </c>
      <c r="V27" s="3" t="s">
        <v>1101</v>
      </c>
      <c r="W27" s="4"/>
      <c r="X27" s="3" t="s">
        <v>3559</v>
      </c>
      <c r="Y27" s="3" t="s">
        <v>971</v>
      </c>
      <c r="Z27" s="3" t="s">
        <v>2251</v>
      </c>
      <c r="AA27" s="3" t="s">
        <v>969</v>
      </c>
      <c r="AB27" s="3" t="s">
        <v>3560</v>
      </c>
      <c r="AC27" s="3" t="s">
        <v>6</v>
      </c>
      <c r="AD27" s="3" t="s">
        <v>3561</v>
      </c>
      <c r="AE27" s="3" t="s">
        <v>3562</v>
      </c>
      <c r="AF27" s="3" t="s">
        <v>2544</v>
      </c>
      <c r="AG27" s="3" t="s">
        <v>3563</v>
      </c>
      <c r="AH27" s="3" t="s">
        <v>971</v>
      </c>
      <c r="AI27" s="4"/>
      <c r="AJ27" s="4"/>
      <c r="AK27" s="4"/>
      <c r="AL27" s="3" t="s">
        <v>3564</v>
      </c>
      <c r="AM27" s="3" t="s">
        <v>3565</v>
      </c>
      <c r="AN27" s="3" t="s">
        <v>3566</v>
      </c>
      <c r="AO27" s="3" t="s">
        <v>3567</v>
      </c>
      <c r="AP27" s="3" t="s">
        <v>3568</v>
      </c>
      <c r="AQ27" s="3" t="s">
        <v>3569</v>
      </c>
      <c r="AR27" s="3" t="s">
        <v>3570</v>
      </c>
      <c r="AS27" s="3" t="s">
        <v>969</v>
      </c>
      <c r="AT27" s="3" t="s">
        <v>969</v>
      </c>
      <c r="AU27" s="3" t="s">
        <v>1039</v>
      </c>
      <c r="AV27" s="3" t="s">
        <v>2836</v>
      </c>
      <c r="AW27" s="3" t="s">
        <v>3571</v>
      </c>
      <c r="AX27" s="3" t="s">
        <v>969</v>
      </c>
      <c r="AY27" s="27">
        <v>15.99</v>
      </c>
      <c r="AZ27" s="5" t="s">
        <v>1</v>
      </c>
      <c r="BA27" s="5" t="s">
        <v>43</v>
      </c>
    </row>
    <row r="28" ht="15.75" customHeight="1">
      <c r="A28" s="45">
        <v>27.0</v>
      </c>
      <c r="B28" s="24">
        <v>44.0</v>
      </c>
      <c r="C28" s="5" t="s">
        <v>1</v>
      </c>
      <c r="D28" s="3" t="s">
        <v>953</v>
      </c>
      <c r="E28" s="25">
        <v>46189.75902777778</v>
      </c>
      <c r="F28" s="3" t="s">
        <v>65</v>
      </c>
      <c r="G28" s="3" t="s">
        <v>65</v>
      </c>
      <c r="H28" s="3" t="s">
        <v>767</v>
      </c>
      <c r="I28" s="3" t="s">
        <v>3572</v>
      </c>
      <c r="J28" s="3" t="s">
        <v>3573</v>
      </c>
      <c r="K28" s="3" t="s">
        <v>3574</v>
      </c>
      <c r="L28" s="3" t="s">
        <v>3575</v>
      </c>
      <c r="M28" s="26">
        <v>36317.0</v>
      </c>
      <c r="N28" s="3" t="s">
        <v>3576</v>
      </c>
      <c r="O28" s="3" t="s">
        <v>3577</v>
      </c>
      <c r="P28" s="4"/>
      <c r="Q28" s="3" t="s">
        <v>3578</v>
      </c>
      <c r="R28" s="3" t="s">
        <v>3579</v>
      </c>
      <c r="S28" s="3" t="s">
        <v>3580</v>
      </c>
      <c r="T28" s="3" t="s">
        <v>3581</v>
      </c>
      <c r="U28" s="3" t="s">
        <v>1124</v>
      </c>
      <c r="V28" s="3" t="s">
        <v>3582</v>
      </c>
      <c r="W28" s="3" t="s">
        <v>3583</v>
      </c>
      <c r="X28" s="3" t="s">
        <v>3584</v>
      </c>
      <c r="Y28" s="3" t="s">
        <v>971</v>
      </c>
      <c r="Z28" s="3" t="s">
        <v>3585</v>
      </c>
      <c r="AA28" s="3" t="s">
        <v>969</v>
      </c>
      <c r="AB28" s="3" t="s">
        <v>3586</v>
      </c>
      <c r="AC28" s="3" t="s">
        <v>969</v>
      </c>
      <c r="AD28" s="3" t="s">
        <v>969</v>
      </c>
      <c r="AE28" s="3" t="s">
        <v>3587</v>
      </c>
      <c r="AF28" s="3" t="s">
        <v>3588</v>
      </c>
      <c r="AG28" s="3" t="s">
        <v>1302</v>
      </c>
      <c r="AH28" s="3" t="s">
        <v>969</v>
      </c>
      <c r="AI28" s="3" t="s">
        <v>3589</v>
      </c>
      <c r="AJ28" s="3" t="s">
        <v>969</v>
      </c>
      <c r="AK28" s="3" t="s">
        <v>3590</v>
      </c>
      <c r="AL28" s="3" t="s">
        <v>3591</v>
      </c>
      <c r="AM28" s="3" t="s">
        <v>3592</v>
      </c>
      <c r="AN28" s="3" t="s">
        <v>3593</v>
      </c>
      <c r="AO28" s="3" t="s">
        <v>3594</v>
      </c>
      <c r="AP28" s="3" t="s">
        <v>3595</v>
      </c>
      <c r="AQ28" s="3" t="s">
        <v>3596</v>
      </c>
      <c r="AR28" s="3" t="s">
        <v>3597</v>
      </c>
      <c r="AS28" s="3" t="s">
        <v>969</v>
      </c>
      <c r="AT28" s="3" t="s">
        <v>969</v>
      </c>
      <c r="AU28" s="3" t="s">
        <v>1039</v>
      </c>
      <c r="AV28" s="3" t="s">
        <v>3598</v>
      </c>
      <c r="AW28" s="3" t="s">
        <v>3599</v>
      </c>
      <c r="AX28" s="3" t="s">
        <v>969</v>
      </c>
      <c r="AY28" s="27">
        <v>15.99</v>
      </c>
      <c r="AZ28" s="5" t="s">
        <v>1</v>
      </c>
      <c r="BA28" s="5" t="s">
        <v>22</v>
      </c>
    </row>
    <row r="29" ht="15.75" customHeight="1">
      <c r="A29" s="45">
        <v>28.0</v>
      </c>
      <c r="B29" s="24">
        <v>39.0</v>
      </c>
      <c r="C29" s="5" t="s">
        <v>56</v>
      </c>
      <c r="D29" s="3" t="s">
        <v>953</v>
      </c>
      <c r="E29" s="25">
        <v>46188.67152777778</v>
      </c>
      <c r="F29" s="3" t="s">
        <v>3600</v>
      </c>
      <c r="G29" s="3" t="s">
        <v>3601</v>
      </c>
      <c r="H29" s="3" t="s">
        <v>604</v>
      </c>
      <c r="I29" s="3" t="s">
        <v>3602</v>
      </c>
      <c r="J29" s="3" t="s">
        <v>3603</v>
      </c>
      <c r="K29" s="3" t="s">
        <v>3604</v>
      </c>
      <c r="L29" s="3" t="s">
        <v>3605</v>
      </c>
      <c r="M29" s="26">
        <v>31990.0</v>
      </c>
      <c r="N29" s="3" t="s">
        <v>3606</v>
      </c>
      <c r="O29" s="3" t="s">
        <v>3607</v>
      </c>
      <c r="P29" s="3" t="s">
        <v>3608</v>
      </c>
      <c r="Q29" s="4"/>
      <c r="R29" s="3" t="s">
        <v>3609</v>
      </c>
      <c r="S29" s="3" t="s">
        <v>3610</v>
      </c>
      <c r="T29" s="3" t="s">
        <v>3611</v>
      </c>
      <c r="U29" s="3" t="s">
        <v>3612</v>
      </c>
      <c r="V29" s="3" t="s">
        <v>3613</v>
      </c>
      <c r="W29" s="3" t="s">
        <v>3614</v>
      </c>
      <c r="X29" s="3" t="s">
        <v>3615</v>
      </c>
      <c r="Y29" s="3" t="s">
        <v>969</v>
      </c>
      <c r="Z29" s="3" t="s">
        <v>1026</v>
      </c>
      <c r="AA29" s="3" t="s">
        <v>971</v>
      </c>
      <c r="AB29" s="4"/>
      <c r="AC29" s="3" t="s">
        <v>969</v>
      </c>
      <c r="AD29" s="3" t="s">
        <v>971</v>
      </c>
      <c r="AE29" s="4"/>
      <c r="AF29" s="4"/>
      <c r="AG29" s="4"/>
      <c r="AH29" s="3" t="s">
        <v>969</v>
      </c>
      <c r="AI29" s="3" t="s">
        <v>3616</v>
      </c>
      <c r="AJ29" s="3" t="s">
        <v>971</v>
      </c>
      <c r="AK29" s="4"/>
      <c r="AL29" s="3" t="s">
        <v>3617</v>
      </c>
      <c r="AM29" s="3" t="s">
        <v>3618</v>
      </c>
      <c r="AN29" s="3" t="s">
        <v>3619</v>
      </c>
      <c r="AO29" s="3" t="s">
        <v>3620</v>
      </c>
      <c r="AP29" s="3" t="s">
        <v>3621</v>
      </c>
      <c r="AQ29" s="3" t="s">
        <v>3622</v>
      </c>
      <c r="AR29" s="3" t="s">
        <v>3623</v>
      </c>
      <c r="AS29" s="3" t="s">
        <v>969</v>
      </c>
      <c r="AT29" s="3" t="s">
        <v>969</v>
      </c>
      <c r="AU29" s="3" t="s">
        <v>1260</v>
      </c>
      <c r="AV29" s="3" t="s">
        <v>1261</v>
      </c>
      <c r="AW29" s="3" t="s">
        <v>3624</v>
      </c>
      <c r="AX29" s="3" t="s">
        <v>969</v>
      </c>
      <c r="AY29" s="27">
        <v>15.99</v>
      </c>
      <c r="AZ29" s="5" t="s">
        <v>56</v>
      </c>
      <c r="BA29" s="5" t="s">
        <v>22</v>
      </c>
    </row>
    <row r="30" ht="15.75" customHeight="1">
      <c r="A30" s="45">
        <v>29.0</v>
      </c>
      <c r="B30" s="24">
        <v>31.0</v>
      </c>
      <c r="C30" s="5" t="s">
        <v>1</v>
      </c>
      <c r="D30" s="3" t="s">
        <v>953</v>
      </c>
      <c r="E30" s="25">
        <v>46186.77430555555</v>
      </c>
      <c r="F30" s="3" t="s">
        <v>45</v>
      </c>
      <c r="G30" s="3" t="s">
        <v>45</v>
      </c>
      <c r="H30" s="3" t="s">
        <v>758</v>
      </c>
      <c r="I30" s="3" t="s">
        <v>3625</v>
      </c>
      <c r="J30" s="3" t="s">
        <v>3626</v>
      </c>
      <c r="K30" s="3" t="s">
        <v>189</v>
      </c>
      <c r="L30" s="3" t="s">
        <v>3627</v>
      </c>
      <c r="M30" s="26">
        <v>36917.0</v>
      </c>
      <c r="N30" s="3" t="s">
        <v>3628</v>
      </c>
      <c r="O30" s="3" t="s">
        <v>3627</v>
      </c>
      <c r="P30" s="4"/>
      <c r="Q30" s="4"/>
      <c r="R30" s="4"/>
      <c r="S30" s="3" t="s">
        <v>1605</v>
      </c>
      <c r="T30" s="3" t="s">
        <v>3629</v>
      </c>
      <c r="U30" s="3" t="s">
        <v>1271</v>
      </c>
      <c r="V30" s="3" t="s">
        <v>3630</v>
      </c>
      <c r="W30" s="3" t="s">
        <v>3631</v>
      </c>
      <c r="X30" s="3" t="s">
        <v>3632</v>
      </c>
      <c r="Y30" s="3" t="s">
        <v>969</v>
      </c>
      <c r="Z30" s="3" t="s">
        <v>3633</v>
      </c>
      <c r="AA30" s="3" t="s">
        <v>971</v>
      </c>
      <c r="AB30" s="4"/>
      <c r="AC30" s="4"/>
      <c r="AD30" s="3" t="s">
        <v>3634</v>
      </c>
      <c r="AE30" s="4"/>
      <c r="AF30" s="3" t="s">
        <v>3635</v>
      </c>
      <c r="AG30" s="3" t="s">
        <v>2040</v>
      </c>
      <c r="AH30" s="3" t="s">
        <v>971</v>
      </c>
      <c r="AI30" s="4"/>
      <c r="AJ30" s="4"/>
      <c r="AK30" s="4"/>
      <c r="AL30" s="3" t="s">
        <v>3636</v>
      </c>
      <c r="AM30" s="3" t="s">
        <v>3637</v>
      </c>
      <c r="AN30" s="3" t="s">
        <v>3638</v>
      </c>
      <c r="AO30" s="3" t="s">
        <v>3639</v>
      </c>
      <c r="AP30" s="3" t="s">
        <v>3640</v>
      </c>
      <c r="AQ30" s="3" t="s">
        <v>3641</v>
      </c>
      <c r="AR30" s="3" t="s">
        <v>3642</v>
      </c>
      <c r="AS30" s="3" t="s">
        <v>969</v>
      </c>
      <c r="AT30" s="3" t="s">
        <v>969</v>
      </c>
      <c r="AU30" s="3" t="s">
        <v>1039</v>
      </c>
      <c r="AV30" s="3" t="s">
        <v>3643</v>
      </c>
      <c r="AW30" s="3" t="s">
        <v>1799</v>
      </c>
      <c r="AX30" s="3" t="s">
        <v>969</v>
      </c>
      <c r="AY30" s="27">
        <v>15.99</v>
      </c>
      <c r="AZ30" s="5" t="s">
        <v>1</v>
      </c>
      <c r="BA30" s="5" t="s">
        <v>22</v>
      </c>
    </row>
    <row r="31" ht="15.75" customHeight="1">
      <c r="A31" s="45">
        <v>30.0</v>
      </c>
      <c r="B31" s="24">
        <v>21.0</v>
      </c>
      <c r="C31" s="5" t="s">
        <v>1</v>
      </c>
      <c r="D31" s="3" t="s">
        <v>953</v>
      </c>
      <c r="E31" s="25">
        <v>46176.46319444444</v>
      </c>
      <c r="F31" s="3" t="s">
        <v>35</v>
      </c>
      <c r="G31" s="3" t="s">
        <v>35</v>
      </c>
      <c r="H31" s="3" t="s">
        <v>594</v>
      </c>
      <c r="I31" s="3" t="s">
        <v>3644</v>
      </c>
      <c r="J31" s="3" t="s">
        <v>3645</v>
      </c>
      <c r="K31" s="3" t="s">
        <v>3646</v>
      </c>
      <c r="L31" s="3" t="s">
        <v>3647</v>
      </c>
      <c r="M31" s="26">
        <v>32497.0</v>
      </c>
      <c r="N31" s="3" t="s">
        <v>3648</v>
      </c>
      <c r="O31" s="3" t="s">
        <v>3649</v>
      </c>
      <c r="P31" s="3" t="s">
        <v>3650</v>
      </c>
      <c r="Q31" s="4"/>
      <c r="R31" s="4"/>
      <c r="S31" s="3" t="s">
        <v>3651</v>
      </c>
      <c r="T31" s="3" t="s">
        <v>3652</v>
      </c>
      <c r="U31" s="3" t="s">
        <v>3653</v>
      </c>
      <c r="V31" s="3" t="s">
        <v>3471</v>
      </c>
      <c r="W31" s="3" t="s">
        <v>1397</v>
      </c>
      <c r="X31" s="3" t="s">
        <v>1398</v>
      </c>
      <c r="Y31" s="3" t="s">
        <v>971</v>
      </c>
      <c r="Z31" s="3" t="s">
        <v>1399</v>
      </c>
      <c r="AA31" s="3" t="s">
        <v>971</v>
      </c>
      <c r="AB31" s="4"/>
      <c r="AC31" s="3" t="s">
        <v>969</v>
      </c>
      <c r="AD31" s="3" t="s">
        <v>3654</v>
      </c>
      <c r="AE31" s="4"/>
      <c r="AF31" s="4"/>
      <c r="AG31" s="4"/>
      <c r="AH31" s="3" t="s">
        <v>971</v>
      </c>
      <c r="AI31" s="4"/>
      <c r="AJ31" s="4"/>
      <c r="AK31" s="4"/>
      <c r="AL31" s="3" t="s">
        <v>3655</v>
      </c>
      <c r="AM31" s="3" t="s">
        <v>3656</v>
      </c>
      <c r="AN31" s="3" t="s">
        <v>3657</v>
      </c>
      <c r="AO31" s="3" t="s">
        <v>3658</v>
      </c>
      <c r="AP31" s="3" t="s">
        <v>3659</v>
      </c>
      <c r="AQ31" s="3" t="s">
        <v>3660</v>
      </c>
      <c r="AR31" s="3" t="s">
        <v>3661</v>
      </c>
      <c r="AS31" s="3" t="s">
        <v>969</v>
      </c>
      <c r="AT31" s="3" t="s">
        <v>969</v>
      </c>
      <c r="AU31" s="3" t="s">
        <v>1260</v>
      </c>
      <c r="AV31" s="3" t="s">
        <v>3662</v>
      </c>
      <c r="AW31" s="3" t="s">
        <v>3663</v>
      </c>
      <c r="AX31" s="3" t="s">
        <v>969</v>
      </c>
      <c r="AY31" s="27">
        <v>15.99</v>
      </c>
      <c r="AZ31" s="5" t="s">
        <v>1</v>
      </c>
      <c r="BA31" s="5" t="s">
        <v>22</v>
      </c>
    </row>
    <row r="32" ht="15.75" customHeight="1">
      <c r="A32" s="45">
        <v>31.0</v>
      </c>
      <c r="B32" s="24">
        <v>15.0</v>
      </c>
      <c r="C32" s="5" t="s">
        <v>1</v>
      </c>
      <c r="D32" s="3" t="s">
        <v>953</v>
      </c>
      <c r="E32" s="25">
        <v>46174.01597222222</v>
      </c>
      <c r="F32" s="3" t="s">
        <v>21</v>
      </c>
      <c r="G32" s="3" t="s">
        <v>21</v>
      </c>
      <c r="H32" s="3" t="s">
        <v>735</v>
      </c>
      <c r="I32" s="3" t="s">
        <v>3664</v>
      </c>
      <c r="J32" s="3" t="s">
        <v>3665</v>
      </c>
      <c r="K32" s="3" t="s">
        <v>3666</v>
      </c>
      <c r="L32" s="3" t="s">
        <v>3667</v>
      </c>
      <c r="M32" s="26">
        <v>32829.0</v>
      </c>
      <c r="N32" s="3" t="s">
        <v>3668</v>
      </c>
      <c r="O32" s="3" t="s">
        <v>3669</v>
      </c>
      <c r="P32" s="3" t="s">
        <v>3670</v>
      </c>
      <c r="Q32" s="3" t="s">
        <v>3671</v>
      </c>
      <c r="R32" s="3" t="s">
        <v>3672</v>
      </c>
      <c r="S32" s="3" t="s">
        <v>3673</v>
      </c>
      <c r="T32" s="3" t="s">
        <v>3674</v>
      </c>
      <c r="U32" s="3" t="s">
        <v>1124</v>
      </c>
      <c r="V32" s="3" t="s">
        <v>3675</v>
      </c>
      <c r="W32" s="3" t="s">
        <v>3676</v>
      </c>
      <c r="X32" s="3" t="s">
        <v>3677</v>
      </c>
      <c r="Y32" s="3" t="s">
        <v>969</v>
      </c>
      <c r="Z32" s="3" t="s">
        <v>1825</v>
      </c>
      <c r="AA32" s="3" t="s">
        <v>971</v>
      </c>
      <c r="AB32" s="4"/>
      <c r="AC32" s="4"/>
      <c r="AD32" s="3" t="s">
        <v>3678</v>
      </c>
      <c r="AE32" s="3" t="s">
        <v>3679</v>
      </c>
      <c r="AF32" s="3" t="s">
        <v>3680</v>
      </c>
      <c r="AG32" s="3" t="s">
        <v>1030</v>
      </c>
      <c r="AH32" s="3" t="s">
        <v>971</v>
      </c>
      <c r="AI32" s="4"/>
      <c r="AJ32" s="4"/>
      <c r="AK32" s="4"/>
      <c r="AL32" s="3" t="s">
        <v>3681</v>
      </c>
      <c r="AM32" s="3" t="s">
        <v>3682</v>
      </c>
      <c r="AN32" s="3" t="s">
        <v>3683</v>
      </c>
      <c r="AO32" s="3" t="s">
        <v>3684</v>
      </c>
      <c r="AP32" s="3" t="s">
        <v>3685</v>
      </c>
      <c r="AQ32" s="3" t="s">
        <v>3686</v>
      </c>
      <c r="AR32" s="3" t="s">
        <v>3687</v>
      </c>
      <c r="AS32" s="3" t="s">
        <v>969</v>
      </c>
      <c r="AT32" s="3" t="s">
        <v>969</v>
      </c>
      <c r="AU32" s="3" t="s">
        <v>1039</v>
      </c>
      <c r="AV32" s="3" t="s">
        <v>3688</v>
      </c>
      <c r="AW32" s="3" t="s">
        <v>3689</v>
      </c>
      <c r="AX32" s="3" t="s">
        <v>969</v>
      </c>
      <c r="AY32" s="27">
        <v>15.99</v>
      </c>
      <c r="AZ32" s="5" t="s">
        <v>1</v>
      </c>
      <c r="BA32" s="5" t="s">
        <v>22</v>
      </c>
    </row>
    <row r="33" ht="15.75" customHeight="1">
      <c r="A33" s="45">
        <v>32.0</v>
      </c>
      <c r="B33" s="24">
        <v>13.0</v>
      </c>
      <c r="C33" s="5" t="s">
        <v>1</v>
      </c>
      <c r="D33" s="3" t="s">
        <v>953</v>
      </c>
      <c r="E33" s="25">
        <v>46172.49930555555</v>
      </c>
      <c r="F33" s="3" t="s">
        <v>16</v>
      </c>
      <c r="G33" s="3" t="s">
        <v>3690</v>
      </c>
      <c r="H33" s="3" t="s">
        <v>17</v>
      </c>
      <c r="I33" s="3" t="s">
        <v>3691</v>
      </c>
      <c r="J33" s="3" t="s">
        <v>3692</v>
      </c>
      <c r="K33" s="3" t="s">
        <v>3693</v>
      </c>
      <c r="L33" s="3" t="s">
        <v>3694</v>
      </c>
      <c r="M33" s="26">
        <v>36150.0</v>
      </c>
      <c r="N33" s="3" t="s">
        <v>3695</v>
      </c>
      <c r="O33" s="3" t="s">
        <v>3696</v>
      </c>
      <c r="P33" s="3" t="s">
        <v>3697</v>
      </c>
      <c r="Q33" s="3" t="s">
        <v>3698</v>
      </c>
      <c r="R33" s="3" t="s">
        <v>3699</v>
      </c>
      <c r="S33" s="3" t="s">
        <v>3700</v>
      </c>
      <c r="T33" s="3" t="s">
        <v>3701</v>
      </c>
      <c r="U33" s="3" t="s">
        <v>1245</v>
      </c>
      <c r="V33" s="3" t="s">
        <v>3702</v>
      </c>
      <c r="W33" s="4"/>
      <c r="X33" s="3" t="s">
        <v>3703</v>
      </c>
      <c r="Y33" s="3" t="s">
        <v>969</v>
      </c>
      <c r="Z33" s="3" t="s">
        <v>1928</v>
      </c>
      <c r="AA33" s="3" t="s">
        <v>971</v>
      </c>
      <c r="AB33" s="4"/>
      <c r="AC33" s="4"/>
      <c r="AD33" s="3" t="s">
        <v>971</v>
      </c>
      <c r="AE33" s="4"/>
      <c r="AF33" s="4"/>
      <c r="AG33" s="4"/>
      <c r="AH33" s="3" t="s">
        <v>969</v>
      </c>
      <c r="AI33" s="3" t="s">
        <v>3704</v>
      </c>
      <c r="AJ33" s="3" t="s">
        <v>971</v>
      </c>
      <c r="AK33" s="4"/>
      <c r="AL33" s="3" t="s">
        <v>3705</v>
      </c>
      <c r="AM33" s="3" t="s">
        <v>3706</v>
      </c>
      <c r="AN33" s="3" t="s">
        <v>3707</v>
      </c>
      <c r="AO33" s="3" t="s">
        <v>3708</v>
      </c>
      <c r="AP33" s="3" t="s">
        <v>3709</v>
      </c>
      <c r="AQ33" s="3" t="s">
        <v>3710</v>
      </c>
      <c r="AR33" s="3" t="s">
        <v>3711</v>
      </c>
      <c r="AS33" s="3" t="s">
        <v>969</v>
      </c>
      <c r="AT33" s="3" t="s">
        <v>969</v>
      </c>
      <c r="AU33" s="3" t="s">
        <v>1409</v>
      </c>
      <c r="AV33" s="3" t="s">
        <v>3712</v>
      </c>
      <c r="AW33" s="4"/>
      <c r="AX33" s="3" t="s">
        <v>969</v>
      </c>
      <c r="AY33" s="27">
        <v>15.99</v>
      </c>
      <c r="AZ33" s="5" t="s">
        <v>1</v>
      </c>
      <c r="BA33" s="5" t="s">
        <v>7</v>
      </c>
    </row>
    <row r="34" ht="15.75" customHeight="1">
      <c r="A34" s="45">
        <v>33.0</v>
      </c>
      <c r="B34" s="24">
        <v>11.0</v>
      </c>
      <c r="C34" s="5" t="s">
        <v>1</v>
      </c>
      <c r="D34" s="3" t="s">
        <v>953</v>
      </c>
      <c r="E34" s="25">
        <v>46172.28333333333</v>
      </c>
      <c r="F34" s="3" t="s">
        <v>2</v>
      </c>
      <c r="G34" s="3" t="s">
        <v>3713</v>
      </c>
      <c r="H34" s="3" t="s">
        <v>3</v>
      </c>
      <c r="I34" s="3" t="s">
        <v>3714</v>
      </c>
      <c r="J34" s="3" t="s">
        <v>3715</v>
      </c>
      <c r="K34" s="3" t="s">
        <v>1015</v>
      </c>
      <c r="L34" s="3" t="s">
        <v>3716</v>
      </c>
      <c r="M34" s="26">
        <v>35724.0</v>
      </c>
      <c r="N34" s="3" t="s">
        <v>3717</v>
      </c>
      <c r="O34" s="3" t="s">
        <v>3718</v>
      </c>
      <c r="P34" s="4"/>
      <c r="Q34" s="4"/>
      <c r="R34" s="4"/>
      <c r="S34" s="3" t="s">
        <v>2849</v>
      </c>
      <c r="T34" s="3" t="s">
        <v>3719</v>
      </c>
      <c r="U34" s="3" t="s">
        <v>1271</v>
      </c>
      <c r="V34" s="3" t="s">
        <v>2821</v>
      </c>
      <c r="W34" s="4"/>
      <c r="X34" s="3" t="s">
        <v>3720</v>
      </c>
      <c r="Y34" s="3" t="s">
        <v>971</v>
      </c>
      <c r="Z34" s="3" t="s">
        <v>1026</v>
      </c>
      <c r="AA34" s="3" t="s">
        <v>971</v>
      </c>
      <c r="AB34" s="4"/>
      <c r="AC34" s="3" t="s">
        <v>969</v>
      </c>
      <c r="AD34" s="3" t="s">
        <v>3721</v>
      </c>
      <c r="AE34" s="3" t="s">
        <v>3722</v>
      </c>
      <c r="AF34" s="3" t="s">
        <v>1250</v>
      </c>
      <c r="AG34" s="3" t="s">
        <v>1746</v>
      </c>
      <c r="AH34" s="3" t="s">
        <v>969</v>
      </c>
      <c r="AI34" s="3" t="s">
        <v>3723</v>
      </c>
      <c r="AJ34" s="3" t="s">
        <v>3724</v>
      </c>
      <c r="AK34" s="3" t="s">
        <v>3725</v>
      </c>
      <c r="AL34" s="3" t="s">
        <v>3726</v>
      </c>
      <c r="AM34" s="3" t="s">
        <v>3727</v>
      </c>
      <c r="AN34" s="3" t="s">
        <v>3728</v>
      </c>
      <c r="AO34" s="3" t="s">
        <v>3729</v>
      </c>
      <c r="AP34" s="3" t="s">
        <v>3730</v>
      </c>
      <c r="AQ34" s="3" t="s">
        <v>3731</v>
      </c>
      <c r="AR34" s="3" t="s">
        <v>3732</v>
      </c>
      <c r="AS34" s="3" t="s">
        <v>969</v>
      </c>
      <c r="AT34" s="3" t="s">
        <v>969</v>
      </c>
      <c r="AU34" s="3" t="s">
        <v>1039</v>
      </c>
      <c r="AV34" s="3" t="s">
        <v>3733</v>
      </c>
      <c r="AW34" s="4"/>
      <c r="AX34" s="3" t="s">
        <v>969</v>
      </c>
      <c r="AY34" s="27">
        <v>15.99</v>
      </c>
      <c r="AZ34" s="5" t="s">
        <v>1</v>
      </c>
      <c r="BA34" s="5" t="s">
        <v>7</v>
      </c>
    </row>
    <row r="35" ht="15.75" customHeight="1">
      <c r="A35" s="45">
        <v>34.0</v>
      </c>
      <c r="B35" s="24">
        <v>193.0</v>
      </c>
      <c r="C35" s="5" t="s">
        <v>1</v>
      </c>
      <c r="D35" s="3" t="s">
        <v>953</v>
      </c>
      <c r="E35" s="25">
        <v>46219.81041666667</v>
      </c>
      <c r="F35" s="3" t="s">
        <v>3734</v>
      </c>
      <c r="G35" s="3" t="s">
        <v>3734</v>
      </c>
      <c r="H35" s="3" t="s">
        <v>3735</v>
      </c>
      <c r="I35" s="3" t="s">
        <v>3736</v>
      </c>
      <c r="J35" s="3" t="s">
        <v>3737</v>
      </c>
      <c r="K35" s="3" t="s">
        <v>3738</v>
      </c>
      <c r="L35" s="3" t="s">
        <v>3739</v>
      </c>
      <c r="M35" s="26">
        <v>34385.0</v>
      </c>
      <c r="N35" s="3" t="s">
        <v>3740</v>
      </c>
      <c r="O35" s="3" t="s">
        <v>3741</v>
      </c>
      <c r="P35" s="3" t="s">
        <v>3742</v>
      </c>
      <c r="Q35" s="3" t="s">
        <v>3743</v>
      </c>
      <c r="R35" s="3" t="s">
        <v>3744</v>
      </c>
      <c r="S35" s="3" t="s">
        <v>3745</v>
      </c>
      <c r="T35" s="3" t="s">
        <v>3746</v>
      </c>
      <c r="U35" s="3" t="s">
        <v>1271</v>
      </c>
      <c r="V35" s="3" t="s">
        <v>3747</v>
      </c>
      <c r="W35" s="3" t="s">
        <v>3748</v>
      </c>
      <c r="X35" s="3" t="s">
        <v>3749</v>
      </c>
      <c r="Y35" s="3" t="s">
        <v>969</v>
      </c>
      <c r="Z35" s="3" t="s">
        <v>3750</v>
      </c>
      <c r="AA35" s="3" t="s">
        <v>971</v>
      </c>
      <c r="AB35" s="4"/>
      <c r="AC35" s="3" t="s">
        <v>6</v>
      </c>
      <c r="AD35" s="3" t="s">
        <v>3751</v>
      </c>
      <c r="AE35" s="3" t="s">
        <v>2564</v>
      </c>
      <c r="AF35" s="3" t="s">
        <v>3752</v>
      </c>
      <c r="AG35" s="3" t="s">
        <v>2853</v>
      </c>
      <c r="AH35" s="3" t="s">
        <v>969</v>
      </c>
      <c r="AI35" s="3" t="s">
        <v>3753</v>
      </c>
      <c r="AJ35" s="3" t="s">
        <v>6</v>
      </c>
      <c r="AK35" s="3" t="s">
        <v>3754</v>
      </c>
      <c r="AL35" s="3" t="s">
        <v>3755</v>
      </c>
      <c r="AM35" s="3" t="s">
        <v>3756</v>
      </c>
      <c r="AN35" s="3" t="s">
        <v>3757</v>
      </c>
      <c r="AO35" s="3" t="s">
        <v>3758</v>
      </c>
      <c r="AP35" s="3" t="s">
        <v>3759</v>
      </c>
      <c r="AQ35" s="3" t="s">
        <v>3760</v>
      </c>
      <c r="AR35" s="3" t="s">
        <v>3761</v>
      </c>
      <c r="AS35" s="3" t="s">
        <v>969</v>
      </c>
      <c r="AT35" s="3" t="s">
        <v>969</v>
      </c>
      <c r="AU35" s="3" t="s">
        <v>1039</v>
      </c>
      <c r="AV35" s="3" t="s">
        <v>2217</v>
      </c>
      <c r="AW35" s="3" t="s">
        <v>3762</v>
      </c>
      <c r="AX35" s="3" t="s">
        <v>969</v>
      </c>
      <c r="AY35" s="27">
        <v>15.99</v>
      </c>
    </row>
    <row r="36" ht="15.75" customHeight="1">
      <c r="A36" s="45">
        <v>35.0</v>
      </c>
      <c r="B36" s="24">
        <v>192.0</v>
      </c>
      <c r="C36" s="5" t="s">
        <v>1</v>
      </c>
      <c r="D36" s="3" t="s">
        <v>953</v>
      </c>
      <c r="E36" s="25">
        <v>46219.07291666666</v>
      </c>
      <c r="F36" s="3" t="s">
        <v>3763</v>
      </c>
      <c r="G36" s="3" t="s">
        <v>3764</v>
      </c>
      <c r="H36" s="3" t="s">
        <v>3765</v>
      </c>
      <c r="I36" s="3" t="s">
        <v>677</v>
      </c>
      <c r="J36" s="3" t="s">
        <v>3766</v>
      </c>
      <c r="K36" s="3" t="s">
        <v>3396</v>
      </c>
      <c r="L36" s="3" t="s">
        <v>3767</v>
      </c>
      <c r="M36" s="26">
        <v>31187.0</v>
      </c>
      <c r="N36" s="3" t="s">
        <v>3768</v>
      </c>
      <c r="O36" s="3" t="s">
        <v>3158</v>
      </c>
      <c r="P36" s="4"/>
      <c r="Q36" s="4"/>
      <c r="R36" s="4"/>
      <c r="S36" s="3" t="s">
        <v>3769</v>
      </c>
      <c r="T36" s="3" t="s">
        <v>3770</v>
      </c>
      <c r="U36" s="3" t="s">
        <v>3771</v>
      </c>
      <c r="V36" s="3" t="s">
        <v>1245</v>
      </c>
      <c r="W36" s="3" t="s">
        <v>3772</v>
      </c>
      <c r="X36" s="3" t="s">
        <v>3773</v>
      </c>
      <c r="Y36" s="3" t="s">
        <v>969</v>
      </c>
      <c r="Z36" s="3" t="s">
        <v>2753</v>
      </c>
      <c r="AA36" s="3" t="s">
        <v>971</v>
      </c>
      <c r="AB36" s="4"/>
      <c r="AC36" s="3" t="s">
        <v>969</v>
      </c>
      <c r="AD36" s="3" t="s">
        <v>3774</v>
      </c>
      <c r="AE36" s="4"/>
      <c r="AF36" s="3" t="s">
        <v>3775</v>
      </c>
      <c r="AG36" s="3" t="s">
        <v>2853</v>
      </c>
      <c r="AH36" s="3" t="s">
        <v>971</v>
      </c>
      <c r="AI36" s="4"/>
      <c r="AJ36" s="3" t="s">
        <v>969</v>
      </c>
      <c r="AK36" s="3" t="s">
        <v>3776</v>
      </c>
      <c r="AL36" s="3" t="s">
        <v>3777</v>
      </c>
      <c r="AM36" s="3" t="s">
        <v>3778</v>
      </c>
      <c r="AN36" s="3" t="s">
        <v>3779</v>
      </c>
      <c r="AO36" s="3" t="s">
        <v>3780</v>
      </c>
      <c r="AP36" s="3" t="s">
        <v>3781</v>
      </c>
      <c r="AQ36" s="3" t="s">
        <v>3782</v>
      </c>
      <c r="AR36" s="3" t="s">
        <v>3783</v>
      </c>
      <c r="AS36" s="3" t="s">
        <v>969</v>
      </c>
      <c r="AT36" s="3" t="s">
        <v>969</v>
      </c>
      <c r="AU36" s="3" t="s">
        <v>1409</v>
      </c>
      <c r="AV36" s="3" t="s">
        <v>3784</v>
      </c>
      <c r="AW36" s="3" t="s">
        <v>3785</v>
      </c>
      <c r="AX36" s="3" t="s">
        <v>969</v>
      </c>
      <c r="AY36" s="27">
        <v>15.99</v>
      </c>
    </row>
    <row r="37" ht="15.75" customHeight="1">
      <c r="A37" s="45">
        <v>36.0</v>
      </c>
      <c r="B37" s="24">
        <v>181.0</v>
      </c>
      <c r="C37" s="5" t="s">
        <v>1</v>
      </c>
      <c r="D37" s="3" t="s">
        <v>953</v>
      </c>
      <c r="E37" s="25">
        <v>46215.73194444444</v>
      </c>
      <c r="F37" s="3" t="s">
        <v>3786</v>
      </c>
      <c r="G37" s="3" t="s">
        <v>3786</v>
      </c>
      <c r="H37" s="3" t="s">
        <v>3787</v>
      </c>
      <c r="I37" s="3" t="s">
        <v>3788</v>
      </c>
      <c r="J37" s="3" t="s">
        <v>3789</v>
      </c>
      <c r="K37" s="3" t="s">
        <v>1624</v>
      </c>
      <c r="L37" s="3" t="s">
        <v>3790</v>
      </c>
      <c r="M37" s="26">
        <v>37575.0</v>
      </c>
      <c r="N37" s="3" t="s">
        <v>3791</v>
      </c>
      <c r="O37" s="3" t="s">
        <v>3792</v>
      </c>
      <c r="P37" s="4"/>
      <c r="Q37" s="4"/>
      <c r="R37" s="3" t="s">
        <v>3793</v>
      </c>
      <c r="S37" s="3" t="s">
        <v>3794</v>
      </c>
      <c r="T37" s="3" t="s">
        <v>3795</v>
      </c>
      <c r="U37" s="3" t="s">
        <v>3796</v>
      </c>
      <c r="V37" s="3" t="s">
        <v>3797</v>
      </c>
      <c r="W37" s="3" t="s">
        <v>3798</v>
      </c>
      <c r="X37" s="3" t="s">
        <v>3799</v>
      </c>
      <c r="Y37" s="3" t="s">
        <v>969</v>
      </c>
      <c r="Z37" s="3" t="s">
        <v>3800</v>
      </c>
      <c r="AA37" s="3" t="s">
        <v>971</v>
      </c>
      <c r="AB37" s="4"/>
      <c r="AC37" s="3" t="s">
        <v>3801</v>
      </c>
      <c r="AD37" s="3" t="s">
        <v>3802</v>
      </c>
      <c r="AE37" s="3" t="s">
        <v>2564</v>
      </c>
      <c r="AF37" s="3" t="s">
        <v>3803</v>
      </c>
      <c r="AG37" s="3" t="s">
        <v>3804</v>
      </c>
      <c r="AH37" s="3" t="s">
        <v>971</v>
      </c>
      <c r="AI37" s="4"/>
      <c r="AJ37" s="3" t="s">
        <v>3805</v>
      </c>
      <c r="AK37" s="3" t="s">
        <v>3806</v>
      </c>
      <c r="AL37" s="3" t="s">
        <v>3807</v>
      </c>
      <c r="AM37" s="3" t="s">
        <v>3808</v>
      </c>
      <c r="AN37" s="3" t="s">
        <v>3809</v>
      </c>
      <c r="AO37" s="3" t="s">
        <v>3810</v>
      </c>
      <c r="AP37" s="3" t="s">
        <v>3811</v>
      </c>
      <c r="AQ37" s="3" t="s">
        <v>3812</v>
      </c>
      <c r="AR37" s="3" t="s">
        <v>3813</v>
      </c>
      <c r="AS37" s="3" t="s">
        <v>971</v>
      </c>
      <c r="AT37" s="3" t="s">
        <v>971</v>
      </c>
      <c r="AU37" s="3" t="s">
        <v>1409</v>
      </c>
      <c r="AV37" s="3" t="s">
        <v>3814</v>
      </c>
      <c r="AW37" s="3" t="s">
        <v>3815</v>
      </c>
      <c r="AX37" s="3" t="s">
        <v>969</v>
      </c>
      <c r="AY37" s="27">
        <v>15.99</v>
      </c>
    </row>
    <row r="38" ht="15.75" customHeight="1">
      <c r="A38" s="45">
        <v>37.0</v>
      </c>
      <c r="B38" s="24">
        <v>174.0</v>
      </c>
      <c r="C38" s="5" t="s">
        <v>1</v>
      </c>
      <c r="D38" s="3" t="s">
        <v>953</v>
      </c>
      <c r="E38" s="25">
        <v>46213.50694444445</v>
      </c>
      <c r="F38" s="3" t="s">
        <v>3816</v>
      </c>
      <c r="G38" s="3" t="s">
        <v>3816</v>
      </c>
      <c r="H38" s="3" t="s">
        <v>3817</v>
      </c>
      <c r="I38" s="3" t="s">
        <v>3818</v>
      </c>
      <c r="J38" s="3" t="s">
        <v>3819</v>
      </c>
      <c r="K38" s="3" t="s">
        <v>189</v>
      </c>
      <c r="L38" s="3" t="s">
        <v>3820</v>
      </c>
      <c r="M38" s="26">
        <v>37338.0</v>
      </c>
      <c r="N38" s="3" t="s">
        <v>3821</v>
      </c>
      <c r="O38" s="3" t="s">
        <v>3820</v>
      </c>
      <c r="P38" s="3" t="s">
        <v>3822</v>
      </c>
      <c r="Q38" s="4"/>
      <c r="R38" s="4"/>
      <c r="S38" s="3" t="s">
        <v>3823</v>
      </c>
      <c r="T38" s="3" t="s">
        <v>3824</v>
      </c>
      <c r="U38" s="3" t="s">
        <v>1949</v>
      </c>
      <c r="V38" s="3" t="s">
        <v>3825</v>
      </c>
      <c r="W38" s="3" t="s">
        <v>3826</v>
      </c>
      <c r="X38" s="3" t="s">
        <v>3827</v>
      </c>
      <c r="Y38" s="3" t="s">
        <v>971</v>
      </c>
      <c r="Z38" s="3" t="s">
        <v>1128</v>
      </c>
      <c r="AA38" s="3" t="s">
        <v>971</v>
      </c>
      <c r="AB38" s="4"/>
      <c r="AC38" s="4"/>
      <c r="AD38" s="3" t="s">
        <v>3828</v>
      </c>
      <c r="AE38" s="4"/>
      <c r="AF38" s="3" t="s">
        <v>3829</v>
      </c>
      <c r="AG38" s="3" t="s">
        <v>1133</v>
      </c>
      <c r="AH38" s="3" t="s">
        <v>969</v>
      </c>
      <c r="AI38" s="3" t="s">
        <v>2565</v>
      </c>
      <c r="AJ38" s="3" t="s">
        <v>6</v>
      </c>
      <c r="AK38" s="3" t="s">
        <v>3830</v>
      </c>
      <c r="AL38" s="3" t="s">
        <v>3831</v>
      </c>
      <c r="AM38" s="3" t="s">
        <v>3832</v>
      </c>
      <c r="AN38" s="3" t="s">
        <v>3833</v>
      </c>
      <c r="AO38" s="3" t="s">
        <v>3834</v>
      </c>
      <c r="AP38" s="3" t="s">
        <v>3835</v>
      </c>
      <c r="AQ38" s="3" t="s">
        <v>3836</v>
      </c>
      <c r="AR38" s="3" t="s">
        <v>3837</v>
      </c>
      <c r="AS38" s="3" t="s">
        <v>971</v>
      </c>
      <c r="AT38" s="3" t="s">
        <v>971</v>
      </c>
      <c r="AU38" s="3" t="s">
        <v>1039</v>
      </c>
      <c r="AV38" s="3" t="s">
        <v>982</v>
      </c>
      <c r="AW38" s="4"/>
      <c r="AX38" s="3" t="s">
        <v>969</v>
      </c>
      <c r="AY38" s="27">
        <v>15.99</v>
      </c>
    </row>
    <row r="39" ht="15.75" customHeight="1">
      <c r="A39" s="45">
        <v>38.0</v>
      </c>
      <c r="B39" s="24">
        <v>165.0</v>
      </c>
      <c r="C39" s="5" t="s">
        <v>1</v>
      </c>
      <c r="D39" s="3" t="s">
        <v>953</v>
      </c>
      <c r="E39" s="25">
        <v>46209.11180555556</v>
      </c>
      <c r="F39" s="3" t="s">
        <v>3838</v>
      </c>
      <c r="G39" s="3" t="s">
        <v>3838</v>
      </c>
      <c r="H39" s="3" t="s">
        <v>3839</v>
      </c>
      <c r="I39" s="3" t="s">
        <v>3840</v>
      </c>
      <c r="J39" s="3" t="s">
        <v>3841</v>
      </c>
      <c r="K39" s="3" t="s">
        <v>3842</v>
      </c>
      <c r="L39" s="3" t="s">
        <v>3843</v>
      </c>
      <c r="M39" s="26">
        <v>38827.0</v>
      </c>
      <c r="N39" s="3" t="s">
        <v>3844</v>
      </c>
      <c r="O39" s="3" t="s">
        <v>3845</v>
      </c>
      <c r="P39" s="3" t="s">
        <v>3846</v>
      </c>
      <c r="Q39" s="3" t="s">
        <v>3847</v>
      </c>
      <c r="R39" s="4"/>
      <c r="S39" s="3" t="s">
        <v>3848</v>
      </c>
      <c r="T39" s="3" t="s">
        <v>3849</v>
      </c>
      <c r="U39" s="3" t="s">
        <v>3850</v>
      </c>
      <c r="V39" s="3" t="s">
        <v>3851</v>
      </c>
      <c r="W39" s="3" t="s">
        <v>3852</v>
      </c>
      <c r="X39" s="3" t="s">
        <v>3853</v>
      </c>
      <c r="Y39" s="3" t="s">
        <v>969</v>
      </c>
      <c r="Z39" s="3" t="s">
        <v>3854</v>
      </c>
      <c r="AA39" s="3" t="s">
        <v>971</v>
      </c>
      <c r="AB39" s="3" t="s">
        <v>3855</v>
      </c>
      <c r="AC39" s="3" t="s">
        <v>6</v>
      </c>
      <c r="AD39" s="3" t="s">
        <v>3856</v>
      </c>
      <c r="AE39" s="3" t="s">
        <v>3857</v>
      </c>
      <c r="AF39" s="3" t="s">
        <v>3858</v>
      </c>
      <c r="AG39" s="3" t="s">
        <v>3859</v>
      </c>
      <c r="AH39" s="3" t="s">
        <v>971</v>
      </c>
      <c r="AI39" s="3" t="s">
        <v>3860</v>
      </c>
      <c r="AJ39" s="3" t="s">
        <v>3861</v>
      </c>
      <c r="AK39" s="3" t="s">
        <v>3862</v>
      </c>
      <c r="AL39" s="3" t="s">
        <v>3863</v>
      </c>
      <c r="AM39" s="3" t="s">
        <v>3864</v>
      </c>
      <c r="AN39" s="3" t="s">
        <v>3865</v>
      </c>
      <c r="AO39" s="3" t="s">
        <v>3866</v>
      </c>
      <c r="AP39" s="3" t="s">
        <v>3867</v>
      </c>
      <c r="AQ39" s="3" t="s">
        <v>3868</v>
      </c>
      <c r="AR39" s="3" t="s">
        <v>3869</v>
      </c>
      <c r="AS39" s="3" t="s">
        <v>969</v>
      </c>
      <c r="AT39" s="3" t="s">
        <v>969</v>
      </c>
      <c r="AU39" s="3" t="s">
        <v>1039</v>
      </c>
      <c r="AV39" s="3" t="s">
        <v>3870</v>
      </c>
      <c r="AW39" s="4"/>
      <c r="AX39" s="3" t="s">
        <v>969</v>
      </c>
      <c r="AY39" s="27">
        <v>15.99</v>
      </c>
    </row>
    <row r="40" ht="15.75" customHeight="1">
      <c r="A40" s="45">
        <v>39.0</v>
      </c>
      <c r="B40" s="24">
        <v>152.0</v>
      </c>
      <c r="C40" s="5" t="s">
        <v>1</v>
      </c>
      <c r="D40" s="3" t="s">
        <v>953</v>
      </c>
      <c r="E40" s="25">
        <v>46208.94861111111</v>
      </c>
      <c r="F40" s="3" t="s">
        <v>3871</v>
      </c>
      <c r="G40" s="3" t="s">
        <v>3871</v>
      </c>
      <c r="H40" s="3" t="s">
        <v>277</v>
      </c>
      <c r="I40" s="3" t="s">
        <v>277</v>
      </c>
      <c r="J40" s="3" t="s">
        <v>3872</v>
      </c>
      <c r="K40" s="3" t="s">
        <v>1528</v>
      </c>
      <c r="L40" s="3" t="s">
        <v>3873</v>
      </c>
      <c r="M40" s="26">
        <v>34137.0</v>
      </c>
      <c r="N40" s="3" t="s">
        <v>3874</v>
      </c>
      <c r="O40" s="3" t="s">
        <v>3873</v>
      </c>
      <c r="P40" s="4"/>
      <c r="Q40" s="4"/>
      <c r="R40" s="4"/>
      <c r="S40" s="3" t="s">
        <v>3875</v>
      </c>
      <c r="T40" s="3" t="s">
        <v>3876</v>
      </c>
      <c r="U40" s="3" t="s">
        <v>1271</v>
      </c>
      <c r="V40" s="3" t="s">
        <v>3877</v>
      </c>
      <c r="W40" s="3" t="s">
        <v>3878</v>
      </c>
      <c r="X40" s="3" t="s">
        <v>3879</v>
      </c>
      <c r="Y40" s="3" t="s">
        <v>971</v>
      </c>
      <c r="Z40" s="4"/>
      <c r="AA40" s="3" t="s">
        <v>971</v>
      </c>
      <c r="AB40" s="4"/>
      <c r="AC40" s="4"/>
      <c r="AD40" s="3" t="s">
        <v>3880</v>
      </c>
      <c r="AE40" s="3" t="s">
        <v>3881</v>
      </c>
      <c r="AF40" s="3" t="s">
        <v>1250</v>
      </c>
      <c r="AG40" s="3" t="s">
        <v>1133</v>
      </c>
      <c r="AH40" s="3" t="s">
        <v>971</v>
      </c>
      <c r="AI40" s="4"/>
      <c r="AJ40" s="4"/>
      <c r="AK40" s="4"/>
      <c r="AL40" s="3" t="s">
        <v>3882</v>
      </c>
      <c r="AM40" s="3" t="s">
        <v>3883</v>
      </c>
      <c r="AN40" s="3" t="s">
        <v>3884</v>
      </c>
      <c r="AO40" s="3" t="s">
        <v>3885</v>
      </c>
      <c r="AP40" s="3" t="s">
        <v>3886</v>
      </c>
      <c r="AQ40" s="3" t="s">
        <v>3887</v>
      </c>
      <c r="AR40" s="3" t="s">
        <v>3888</v>
      </c>
      <c r="AS40" s="3" t="s">
        <v>971</v>
      </c>
      <c r="AT40" s="3" t="s">
        <v>971</v>
      </c>
      <c r="AU40" s="3" t="s">
        <v>1260</v>
      </c>
      <c r="AV40" s="3" t="s">
        <v>918</v>
      </c>
      <c r="AW40" s="4"/>
      <c r="AX40" s="3" t="s">
        <v>969</v>
      </c>
      <c r="AY40" s="27">
        <v>15.99</v>
      </c>
      <c r="BA40" s="5" t="s">
        <v>43</v>
      </c>
    </row>
    <row r="41" ht="15.75" customHeight="1">
      <c r="A41" s="45">
        <v>40.0</v>
      </c>
      <c r="B41" s="24">
        <v>151.0</v>
      </c>
      <c r="C41" s="5" t="s">
        <v>1</v>
      </c>
      <c r="D41" s="3" t="s">
        <v>953</v>
      </c>
      <c r="E41" s="25">
        <v>46208.94375</v>
      </c>
      <c r="F41" s="3" t="s">
        <v>3889</v>
      </c>
      <c r="G41" s="3" t="s">
        <v>3889</v>
      </c>
      <c r="H41" s="3" t="s">
        <v>3890</v>
      </c>
      <c r="I41" s="3" t="s">
        <v>3891</v>
      </c>
      <c r="J41" s="3" t="s">
        <v>3892</v>
      </c>
      <c r="K41" s="3" t="s">
        <v>2223</v>
      </c>
      <c r="L41" s="3" t="s">
        <v>3893</v>
      </c>
      <c r="M41" s="26">
        <v>37793.0</v>
      </c>
      <c r="N41" s="3" t="s">
        <v>3894</v>
      </c>
      <c r="O41" s="3" t="s">
        <v>3895</v>
      </c>
      <c r="P41" s="3" t="s">
        <v>3896</v>
      </c>
      <c r="Q41" s="3" t="s">
        <v>3897</v>
      </c>
      <c r="R41" s="4"/>
      <c r="S41" s="3" t="s">
        <v>3898</v>
      </c>
      <c r="T41" s="3" t="s">
        <v>3899</v>
      </c>
      <c r="U41" s="3" t="s">
        <v>1896</v>
      </c>
      <c r="V41" s="3" t="s">
        <v>1397</v>
      </c>
      <c r="W41" s="4"/>
      <c r="X41" s="3" t="s">
        <v>3900</v>
      </c>
      <c r="Y41" s="3" t="s">
        <v>969</v>
      </c>
      <c r="Z41" s="3" t="s">
        <v>1928</v>
      </c>
      <c r="AA41" s="3" t="s">
        <v>971</v>
      </c>
      <c r="AB41" s="4"/>
      <c r="AC41" s="3" t="s">
        <v>969</v>
      </c>
      <c r="AD41" s="3" t="s">
        <v>3901</v>
      </c>
      <c r="AE41" s="4"/>
      <c r="AF41" s="3" t="s">
        <v>1250</v>
      </c>
      <c r="AG41" s="3" t="s">
        <v>1133</v>
      </c>
      <c r="AH41" s="3" t="s">
        <v>971</v>
      </c>
      <c r="AI41" s="4"/>
      <c r="AJ41" s="4"/>
      <c r="AK41" s="4"/>
      <c r="AL41" s="4"/>
      <c r="AM41" s="3" t="s">
        <v>3902</v>
      </c>
      <c r="AN41" s="3" t="s">
        <v>3903</v>
      </c>
      <c r="AO41" s="3" t="s">
        <v>3904</v>
      </c>
      <c r="AP41" s="3" t="s">
        <v>3905</v>
      </c>
      <c r="AQ41" s="3" t="s">
        <v>3906</v>
      </c>
      <c r="AR41" s="3" t="s">
        <v>3907</v>
      </c>
      <c r="AS41" s="3" t="s">
        <v>969</v>
      </c>
      <c r="AT41" s="3" t="s">
        <v>969</v>
      </c>
      <c r="AU41" s="3" t="s">
        <v>1039</v>
      </c>
      <c r="AV41" s="3" t="s">
        <v>3908</v>
      </c>
      <c r="AW41" s="3" t="s">
        <v>1596</v>
      </c>
      <c r="AX41" s="3" t="s">
        <v>969</v>
      </c>
      <c r="AY41" s="27">
        <v>15.99</v>
      </c>
    </row>
    <row r="42" ht="15.75" customHeight="1">
      <c r="A42" s="45">
        <v>41.0</v>
      </c>
      <c r="B42" s="24">
        <v>146.0</v>
      </c>
      <c r="C42" s="5" t="s">
        <v>1</v>
      </c>
      <c r="D42" s="3" t="s">
        <v>953</v>
      </c>
      <c r="E42" s="25">
        <v>46208.88819444444</v>
      </c>
      <c r="F42" s="3" t="s">
        <v>3909</v>
      </c>
      <c r="G42" s="3" t="s">
        <v>3910</v>
      </c>
      <c r="H42" s="3" t="s">
        <v>3911</v>
      </c>
      <c r="I42" s="3" t="s">
        <v>3912</v>
      </c>
      <c r="J42" s="3" t="s">
        <v>3913</v>
      </c>
      <c r="K42" s="3" t="s">
        <v>2579</v>
      </c>
      <c r="L42" s="3" t="s">
        <v>3914</v>
      </c>
      <c r="M42" s="26">
        <v>34565.0</v>
      </c>
      <c r="N42" s="3" t="s">
        <v>3915</v>
      </c>
      <c r="O42" s="3" t="s">
        <v>3916</v>
      </c>
      <c r="P42" s="4"/>
      <c r="Q42" s="4"/>
      <c r="R42" s="3" t="s">
        <v>3917</v>
      </c>
      <c r="S42" s="42" t="s">
        <v>3918</v>
      </c>
      <c r="T42" s="3" t="s">
        <v>3919</v>
      </c>
      <c r="U42" s="3" t="s">
        <v>1396</v>
      </c>
      <c r="V42" s="3" t="s">
        <v>2754</v>
      </c>
      <c r="W42" s="3" t="s">
        <v>2925</v>
      </c>
      <c r="X42" s="3" t="s">
        <v>3920</v>
      </c>
      <c r="Y42" s="3" t="s">
        <v>971</v>
      </c>
      <c r="Z42" s="3" t="s">
        <v>2587</v>
      </c>
      <c r="AA42" s="3" t="s">
        <v>971</v>
      </c>
      <c r="AB42" s="4"/>
      <c r="AC42" s="3" t="s">
        <v>969</v>
      </c>
      <c r="AD42" s="3" t="s">
        <v>3921</v>
      </c>
      <c r="AE42" s="3" t="s">
        <v>3922</v>
      </c>
      <c r="AF42" s="3" t="s">
        <v>1250</v>
      </c>
      <c r="AG42" s="3" t="s">
        <v>3923</v>
      </c>
      <c r="AH42" s="3" t="s">
        <v>969</v>
      </c>
      <c r="AI42" s="3" t="s">
        <v>3924</v>
      </c>
      <c r="AJ42" s="3" t="s">
        <v>971</v>
      </c>
      <c r="AK42" s="4"/>
      <c r="AL42" s="3" t="s">
        <v>3925</v>
      </c>
      <c r="AM42" s="3" t="s">
        <v>3926</v>
      </c>
      <c r="AN42" s="3" t="s">
        <v>3927</v>
      </c>
      <c r="AO42" s="3" t="s">
        <v>3928</v>
      </c>
      <c r="AP42" s="3" t="s">
        <v>3929</v>
      </c>
      <c r="AQ42" s="3" t="s">
        <v>3930</v>
      </c>
      <c r="AR42" s="3" t="s">
        <v>3931</v>
      </c>
      <c r="AS42" s="3" t="s">
        <v>969</v>
      </c>
      <c r="AT42" s="3" t="s">
        <v>969</v>
      </c>
      <c r="AU42" s="3" t="s">
        <v>1260</v>
      </c>
      <c r="AV42" s="3" t="s">
        <v>3932</v>
      </c>
      <c r="AW42" s="3" t="s">
        <v>3933</v>
      </c>
      <c r="AX42" s="3" t="s">
        <v>969</v>
      </c>
      <c r="AY42" s="27">
        <v>15.99</v>
      </c>
    </row>
    <row r="43" ht="15.75" customHeight="1">
      <c r="A43" s="45">
        <v>42.0</v>
      </c>
      <c r="B43" s="24">
        <v>145.0</v>
      </c>
      <c r="C43" s="5" t="s">
        <v>1</v>
      </c>
      <c r="D43" s="3" t="s">
        <v>953</v>
      </c>
      <c r="E43" s="25">
        <v>46208.88194444445</v>
      </c>
      <c r="F43" s="3" t="s">
        <v>3934</v>
      </c>
      <c r="G43" s="3" t="s">
        <v>3935</v>
      </c>
      <c r="H43" s="3" t="s">
        <v>3936</v>
      </c>
      <c r="I43" s="3" t="s">
        <v>3937</v>
      </c>
      <c r="J43" s="4"/>
      <c r="K43" s="3" t="s">
        <v>3938</v>
      </c>
      <c r="L43" s="3" t="s">
        <v>3939</v>
      </c>
      <c r="M43" s="26">
        <v>35476.0</v>
      </c>
      <c r="N43" s="3" t="s">
        <v>3940</v>
      </c>
      <c r="O43" s="3" t="s">
        <v>3941</v>
      </c>
      <c r="P43" s="4"/>
      <c r="Q43" s="4"/>
      <c r="R43" s="4"/>
      <c r="S43" s="3" t="s">
        <v>3942</v>
      </c>
      <c r="T43" s="3" t="s">
        <v>3943</v>
      </c>
      <c r="U43" s="3" t="s">
        <v>1662</v>
      </c>
      <c r="V43" s="3" t="s">
        <v>1662</v>
      </c>
      <c r="W43" s="4"/>
      <c r="X43" s="3" t="s">
        <v>3944</v>
      </c>
      <c r="Y43" s="3" t="s">
        <v>969</v>
      </c>
      <c r="Z43" s="4"/>
      <c r="AA43" s="3" t="s">
        <v>969</v>
      </c>
      <c r="AB43" s="4"/>
      <c r="AC43" s="4"/>
      <c r="AD43" s="3" t="s">
        <v>3945</v>
      </c>
      <c r="AE43" s="4"/>
      <c r="AF43" s="4"/>
      <c r="AG43" s="4"/>
      <c r="AH43" s="3" t="s">
        <v>969</v>
      </c>
      <c r="AI43" s="4"/>
      <c r="AJ43" s="4"/>
      <c r="AK43" s="4"/>
      <c r="AL43" s="4"/>
      <c r="AM43" s="3" t="s">
        <v>3946</v>
      </c>
      <c r="AN43" s="3" t="s">
        <v>3947</v>
      </c>
      <c r="AO43" s="3" t="s">
        <v>3948</v>
      </c>
      <c r="AP43" s="3" t="s">
        <v>3949</v>
      </c>
      <c r="AQ43" s="3" t="s">
        <v>3950</v>
      </c>
      <c r="AR43" s="3" t="s">
        <v>3951</v>
      </c>
      <c r="AS43" s="3" t="s">
        <v>969</v>
      </c>
      <c r="AT43" s="3" t="s">
        <v>969</v>
      </c>
      <c r="AU43" s="3" t="s">
        <v>1233</v>
      </c>
      <c r="AV43" s="3" t="s">
        <v>3952</v>
      </c>
      <c r="AW43" s="3" t="s">
        <v>3953</v>
      </c>
      <c r="AX43" s="3" t="s">
        <v>969</v>
      </c>
      <c r="AY43" s="27">
        <v>15.99</v>
      </c>
    </row>
    <row r="44" ht="15.75" customHeight="1">
      <c r="A44" s="45">
        <v>43.0</v>
      </c>
      <c r="B44" s="24">
        <v>140.0</v>
      </c>
      <c r="C44" s="5" t="s">
        <v>1</v>
      </c>
      <c r="D44" s="3" t="s">
        <v>953</v>
      </c>
      <c r="E44" s="25">
        <v>46208.84027777778</v>
      </c>
      <c r="F44" s="3" t="s">
        <v>3954</v>
      </c>
      <c r="G44" s="3" t="s">
        <v>3954</v>
      </c>
      <c r="H44" s="3" t="s">
        <v>3955</v>
      </c>
      <c r="I44" s="3" t="s">
        <v>3956</v>
      </c>
      <c r="J44" s="4"/>
      <c r="K44" s="3" t="s">
        <v>2188</v>
      </c>
      <c r="L44" s="3" t="s">
        <v>3957</v>
      </c>
      <c r="M44" s="26">
        <v>39661.0</v>
      </c>
      <c r="N44" s="3" t="s">
        <v>3958</v>
      </c>
      <c r="O44" s="3" t="s">
        <v>3959</v>
      </c>
      <c r="P44" s="4"/>
      <c r="Q44" s="4"/>
      <c r="R44" s="4"/>
      <c r="S44" s="3" t="s">
        <v>3960</v>
      </c>
      <c r="T44" s="3" t="s">
        <v>3961</v>
      </c>
      <c r="U44" s="3" t="s">
        <v>3962</v>
      </c>
      <c r="V44" s="3" t="s">
        <v>3963</v>
      </c>
      <c r="W44" s="3" t="s">
        <v>3964</v>
      </c>
      <c r="X44" s="3" t="s">
        <v>3965</v>
      </c>
      <c r="Y44" s="3" t="s">
        <v>969</v>
      </c>
      <c r="Z44" s="3" t="s">
        <v>3966</v>
      </c>
      <c r="AA44" s="3" t="s">
        <v>969</v>
      </c>
      <c r="AB44" s="3" t="s">
        <v>3967</v>
      </c>
      <c r="AC44" s="4"/>
      <c r="AD44" s="3" t="s">
        <v>3968</v>
      </c>
      <c r="AE44" s="3" t="s">
        <v>3969</v>
      </c>
      <c r="AF44" s="3" t="s">
        <v>1250</v>
      </c>
      <c r="AG44" s="3" t="s">
        <v>1030</v>
      </c>
      <c r="AH44" s="3" t="s">
        <v>971</v>
      </c>
      <c r="AI44" s="4"/>
      <c r="AJ44" s="3" t="s">
        <v>3970</v>
      </c>
      <c r="AK44" s="3" t="s">
        <v>3971</v>
      </c>
      <c r="AL44" s="3" t="s">
        <v>3972</v>
      </c>
      <c r="AM44" s="3" t="s">
        <v>3973</v>
      </c>
      <c r="AN44" s="3" t="s">
        <v>3974</v>
      </c>
      <c r="AO44" s="3" t="s">
        <v>3975</v>
      </c>
      <c r="AP44" s="3" t="s">
        <v>3976</v>
      </c>
      <c r="AQ44" s="3" t="s">
        <v>3977</v>
      </c>
      <c r="AR44" s="3" t="s">
        <v>3978</v>
      </c>
      <c r="AS44" s="3" t="s">
        <v>969</v>
      </c>
      <c r="AT44" s="3" t="s">
        <v>969</v>
      </c>
      <c r="AU44" s="3" t="s">
        <v>1039</v>
      </c>
      <c r="AV44" s="3" t="s">
        <v>1498</v>
      </c>
      <c r="AW44" s="3" t="s">
        <v>3979</v>
      </c>
      <c r="AX44" s="3" t="s">
        <v>969</v>
      </c>
      <c r="AY44" s="27">
        <v>15.99</v>
      </c>
    </row>
    <row r="45" ht="15.75" customHeight="1">
      <c r="A45" s="45">
        <v>44.0</v>
      </c>
      <c r="B45" s="24">
        <v>135.0</v>
      </c>
      <c r="C45" s="5" t="s">
        <v>1</v>
      </c>
      <c r="D45" s="3" t="s">
        <v>953</v>
      </c>
      <c r="E45" s="25">
        <v>46208.81111111111</v>
      </c>
      <c r="F45" s="3" t="s">
        <v>3980</v>
      </c>
      <c r="G45" s="3" t="s">
        <v>3981</v>
      </c>
      <c r="H45" s="3" t="s">
        <v>3982</v>
      </c>
      <c r="I45" s="3" t="s">
        <v>3983</v>
      </c>
      <c r="J45" s="3" t="s">
        <v>3984</v>
      </c>
      <c r="K45" s="3" t="s">
        <v>3985</v>
      </c>
      <c r="L45" s="3" t="s">
        <v>3986</v>
      </c>
      <c r="M45" s="26">
        <v>38468.0</v>
      </c>
      <c r="N45" s="3" t="s">
        <v>3987</v>
      </c>
      <c r="O45" s="3" t="s">
        <v>3988</v>
      </c>
      <c r="P45" s="3" t="s">
        <v>3989</v>
      </c>
      <c r="Q45" s="4"/>
      <c r="R45" s="4"/>
      <c r="S45" s="3" t="s">
        <v>3990</v>
      </c>
      <c r="T45" s="3" t="s">
        <v>3991</v>
      </c>
      <c r="U45" s="3" t="s">
        <v>1949</v>
      </c>
      <c r="V45" s="3" t="s">
        <v>1002</v>
      </c>
      <c r="W45" s="3" t="s">
        <v>1397</v>
      </c>
      <c r="X45" s="3" t="s">
        <v>3992</v>
      </c>
      <c r="Y45" s="3" t="s">
        <v>969</v>
      </c>
      <c r="Z45" s="3" t="s">
        <v>2188</v>
      </c>
      <c r="AA45" s="3" t="s">
        <v>969</v>
      </c>
      <c r="AB45" s="3" t="s">
        <v>3993</v>
      </c>
      <c r="AC45" s="4"/>
      <c r="AD45" s="3" t="s">
        <v>3994</v>
      </c>
      <c r="AE45" s="3" t="s">
        <v>3995</v>
      </c>
      <c r="AF45" s="3" t="s">
        <v>3996</v>
      </c>
      <c r="AG45" s="3" t="s">
        <v>3997</v>
      </c>
      <c r="AH45" s="3" t="s">
        <v>971</v>
      </c>
      <c r="AI45" s="4"/>
      <c r="AJ45" s="4"/>
      <c r="AK45" s="4"/>
      <c r="AL45" s="3" t="s">
        <v>3998</v>
      </c>
      <c r="AM45" s="3" t="s">
        <v>3999</v>
      </c>
      <c r="AN45" s="3" t="s">
        <v>4000</v>
      </c>
      <c r="AO45" s="3" t="s">
        <v>4001</v>
      </c>
      <c r="AP45" s="3" t="s">
        <v>4002</v>
      </c>
      <c r="AQ45" s="3" t="s">
        <v>4003</v>
      </c>
      <c r="AR45" s="3" t="s">
        <v>4004</v>
      </c>
      <c r="AS45" s="3" t="s">
        <v>969</v>
      </c>
      <c r="AT45" s="3" t="s">
        <v>969</v>
      </c>
      <c r="AU45" s="3" t="s">
        <v>981</v>
      </c>
      <c r="AV45" s="3" t="s">
        <v>4005</v>
      </c>
      <c r="AW45" s="3" t="s">
        <v>4006</v>
      </c>
      <c r="AX45" s="3" t="s">
        <v>969</v>
      </c>
      <c r="AY45" s="27">
        <v>15.99</v>
      </c>
    </row>
    <row r="46" ht="15.75" customHeight="1">
      <c r="A46" s="45">
        <v>45.0</v>
      </c>
      <c r="B46" s="24">
        <v>131.0</v>
      </c>
      <c r="C46" s="5" t="s">
        <v>1</v>
      </c>
      <c r="D46" s="3" t="s">
        <v>953</v>
      </c>
      <c r="E46" s="25">
        <v>46208.75833333333</v>
      </c>
      <c r="F46" s="3" t="s">
        <v>4007</v>
      </c>
      <c r="G46" s="3" t="s">
        <v>4008</v>
      </c>
      <c r="H46" s="3" t="s">
        <v>4009</v>
      </c>
      <c r="I46" s="3" t="s">
        <v>4010</v>
      </c>
      <c r="J46" s="4"/>
      <c r="K46" s="3" t="s">
        <v>1291</v>
      </c>
      <c r="L46" s="3" t="s">
        <v>4011</v>
      </c>
      <c r="M46" s="26">
        <v>36641.0</v>
      </c>
      <c r="N46" s="3" t="s">
        <v>4012</v>
      </c>
      <c r="O46" s="3" t="s">
        <v>4013</v>
      </c>
      <c r="P46" s="4"/>
      <c r="Q46" s="4"/>
      <c r="R46" s="4"/>
      <c r="S46" s="3" t="s">
        <v>4014</v>
      </c>
      <c r="T46" s="3" t="s">
        <v>4015</v>
      </c>
      <c r="U46" s="3" t="s">
        <v>4016</v>
      </c>
      <c r="V46" s="3" t="s">
        <v>1397</v>
      </c>
      <c r="W46" s="4"/>
      <c r="X46" s="3" t="s">
        <v>4017</v>
      </c>
      <c r="Y46" s="3" t="s">
        <v>969</v>
      </c>
      <c r="Z46" s="3" t="s">
        <v>4018</v>
      </c>
      <c r="AA46" s="3" t="s">
        <v>971</v>
      </c>
      <c r="AB46" s="4"/>
      <c r="AC46" s="4"/>
      <c r="AD46" s="3" t="s">
        <v>4019</v>
      </c>
      <c r="AE46" s="3" t="s">
        <v>4020</v>
      </c>
      <c r="AF46" s="3" t="s">
        <v>4021</v>
      </c>
      <c r="AG46" s="3" t="s">
        <v>4022</v>
      </c>
      <c r="AH46" s="3" t="s">
        <v>971</v>
      </c>
      <c r="AI46" s="4"/>
      <c r="AJ46" s="4"/>
      <c r="AK46" s="4"/>
      <c r="AL46" s="3" t="s">
        <v>4023</v>
      </c>
      <c r="AM46" s="3" t="s">
        <v>4024</v>
      </c>
      <c r="AN46" s="3" t="s">
        <v>4025</v>
      </c>
      <c r="AO46" s="3" t="s">
        <v>4026</v>
      </c>
      <c r="AP46" s="3" t="s">
        <v>4027</v>
      </c>
      <c r="AQ46" s="3" t="s">
        <v>4028</v>
      </c>
      <c r="AR46" s="3" t="s">
        <v>4029</v>
      </c>
      <c r="AS46" s="3" t="s">
        <v>969</v>
      </c>
      <c r="AT46" s="3" t="s">
        <v>969</v>
      </c>
      <c r="AU46" s="3" t="s">
        <v>1039</v>
      </c>
      <c r="AV46" s="3" t="s">
        <v>4030</v>
      </c>
      <c r="AW46" s="4"/>
      <c r="AX46" s="3" t="s">
        <v>969</v>
      </c>
      <c r="AY46" s="27">
        <v>15.99</v>
      </c>
    </row>
    <row r="47" ht="15.75" customHeight="1">
      <c r="A47" s="45">
        <v>46.0</v>
      </c>
      <c r="B47" s="24">
        <v>128.0</v>
      </c>
      <c r="C47" s="5" t="s">
        <v>1</v>
      </c>
      <c r="D47" s="3" t="s">
        <v>953</v>
      </c>
      <c r="E47" s="25">
        <v>46208.70902777778</v>
      </c>
      <c r="F47" s="3" t="s">
        <v>4031</v>
      </c>
      <c r="G47" s="3" t="s">
        <v>4031</v>
      </c>
      <c r="H47" s="3" t="s">
        <v>4032</v>
      </c>
      <c r="I47" s="3" t="s">
        <v>4033</v>
      </c>
      <c r="J47" s="3" t="s">
        <v>4034</v>
      </c>
      <c r="K47" s="3" t="s">
        <v>1474</v>
      </c>
      <c r="L47" s="3" t="s">
        <v>4035</v>
      </c>
      <c r="M47" s="26">
        <v>39014.0</v>
      </c>
      <c r="N47" s="3" t="s">
        <v>4036</v>
      </c>
      <c r="O47" s="3" t="s">
        <v>4037</v>
      </c>
      <c r="P47" s="3" t="s">
        <v>4038</v>
      </c>
      <c r="Q47" s="4"/>
      <c r="R47" s="4"/>
      <c r="S47" s="3" t="s">
        <v>4039</v>
      </c>
      <c r="T47" s="3" t="s">
        <v>4040</v>
      </c>
      <c r="U47" s="3" t="s">
        <v>1370</v>
      </c>
      <c r="V47" s="3" t="s">
        <v>1896</v>
      </c>
      <c r="W47" s="3" t="s">
        <v>1397</v>
      </c>
      <c r="X47" s="3" t="s">
        <v>3992</v>
      </c>
      <c r="Y47" s="3" t="s">
        <v>969</v>
      </c>
      <c r="Z47" s="3" t="s">
        <v>2188</v>
      </c>
      <c r="AA47" s="3" t="s">
        <v>969</v>
      </c>
      <c r="AB47" s="3" t="s">
        <v>4041</v>
      </c>
      <c r="AC47" s="3" t="s">
        <v>969</v>
      </c>
      <c r="AD47" s="3" t="s">
        <v>4042</v>
      </c>
      <c r="AE47" s="3" t="s">
        <v>4043</v>
      </c>
      <c r="AF47" s="3" t="s">
        <v>4044</v>
      </c>
      <c r="AG47" s="3" t="s">
        <v>4045</v>
      </c>
      <c r="AH47" s="3" t="s">
        <v>971</v>
      </c>
      <c r="AI47" s="4"/>
      <c r="AJ47" s="4"/>
      <c r="AK47" s="4"/>
      <c r="AL47" s="3" t="s">
        <v>4046</v>
      </c>
      <c r="AM47" s="3" t="s">
        <v>4047</v>
      </c>
      <c r="AN47" s="3" t="s">
        <v>4048</v>
      </c>
      <c r="AO47" s="3" t="s">
        <v>4049</v>
      </c>
      <c r="AP47" s="3" t="s">
        <v>4050</v>
      </c>
      <c r="AQ47" s="3" t="s">
        <v>4051</v>
      </c>
      <c r="AR47" s="3" t="s">
        <v>4052</v>
      </c>
      <c r="AS47" s="3" t="s">
        <v>969</v>
      </c>
      <c r="AT47" s="3" t="s">
        <v>969</v>
      </c>
      <c r="AU47" s="3" t="s">
        <v>1039</v>
      </c>
      <c r="AV47" s="3" t="s">
        <v>4053</v>
      </c>
      <c r="AW47" s="3" t="s">
        <v>4054</v>
      </c>
      <c r="AX47" s="3" t="s">
        <v>969</v>
      </c>
      <c r="AY47" s="27">
        <v>15.99</v>
      </c>
    </row>
    <row r="48" ht="15.75" customHeight="1">
      <c r="A48" s="45">
        <v>47.0</v>
      </c>
      <c r="B48" s="24">
        <v>126.0</v>
      </c>
      <c r="C48" s="5" t="s">
        <v>1</v>
      </c>
      <c r="D48" s="3" t="s">
        <v>953</v>
      </c>
      <c r="E48" s="25">
        <v>46208.69861111111</v>
      </c>
      <c r="F48" s="3" t="s">
        <v>4055</v>
      </c>
      <c r="G48" s="3" t="s">
        <v>4056</v>
      </c>
      <c r="H48" s="3" t="s">
        <v>4057</v>
      </c>
      <c r="I48" s="3" t="s">
        <v>4057</v>
      </c>
      <c r="J48" s="3" t="s">
        <v>4058</v>
      </c>
      <c r="K48" s="3" t="s">
        <v>1916</v>
      </c>
      <c r="L48" s="3" t="s">
        <v>4059</v>
      </c>
      <c r="M48" s="26">
        <v>38855.0</v>
      </c>
      <c r="N48" s="3" t="s">
        <v>4060</v>
      </c>
      <c r="O48" s="3" t="s">
        <v>4059</v>
      </c>
      <c r="P48" s="4"/>
      <c r="Q48" s="3" t="s">
        <v>4061</v>
      </c>
      <c r="R48" s="4"/>
      <c r="S48" s="42" t="s">
        <v>4062</v>
      </c>
      <c r="T48" s="3" t="s">
        <v>4063</v>
      </c>
      <c r="U48" s="3" t="s">
        <v>1124</v>
      </c>
      <c r="V48" s="3" t="s">
        <v>4064</v>
      </c>
      <c r="W48" s="3" t="s">
        <v>4065</v>
      </c>
      <c r="X48" s="3" t="s">
        <v>4066</v>
      </c>
      <c r="Y48" s="3" t="s">
        <v>969</v>
      </c>
      <c r="Z48" s="3" t="s">
        <v>1399</v>
      </c>
      <c r="AA48" s="3" t="s">
        <v>971</v>
      </c>
      <c r="AB48" s="4"/>
      <c r="AC48" s="3" t="s">
        <v>969</v>
      </c>
      <c r="AD48" s="3" t="s">
        <v>4067</v>
      </c>
      <c r="AE48" s="3" t="s">
        <v>3264</v>
      </c>
      <c r="AF48" s="3" t="s">
        <v>1250</v>
      </c>
      <c r="AG48" s="3" t="s">
        <v>1030</v>
      </c>
      <c r="AH48" s="3" t="s">
        <v>971</v>
      </c>
      <c r="AI48" s="4"/>
      <c r="AJ48" s="3" t="s">
        <v>971</v>
      </c>
      <c r="AK48" s="4"/>
      <c r="AL48" s="3" t="s">
        <v>4068</v>
      </c>
      <c r="AM48" s="3" t="s">
        <v>4069</v>
      </c>
      <c r="AN48" s="3" t="s">
        <v>4070</v>
      </c>
      <c r="AO48" s="3" t="s">
        <v>4071</v>
      </c>
      <c r="AP48" s="3" t="s">
        <v>4072</v>
      </c>
      <c r="AQ48" s="3" t="s">
        <v>4073</v>
      </c>
      <c r="AR48" s="3" t="s">
        <v>4074</v>
      </c>
      <c r="AS48" s="3" t="s">
        <v>969</v>
      </c>
      <c r="AT48" s="3" t="s">
        <v>969</v>
      </c>
      <c r="AU48" s="3" t="s">
        <v>1039</v>
      </c>
      <c r="AV48" s="3" t="s">
        <v>4075</v>
      </c>
      <c r="AW48" s="3" t="s">
        <v>1288</v>
      </c>
      <c r="AX48" s="3" t="s">
        <v>969</v>
      </c>
      <c r="AY48" s="27">
        <v>15.99</v>
      </c>
    </row>
    <row r="49" ht="15.75" customHeight="1">
      <c r="A49" s="45">
        <v>48.0</v>
      </c>
      <c r="B49" s="24">
        <v>125.0</v>
      </c>
      <c r="C49" s="5" t="s">
        <v>1</v>
      </c>
      <c r="D49" s="3" t="s">
        <v>953</v>
      </c>
      <c r="E49" s="25">
        <v>46208.68333333333</v>
      </c>
      <c r="F49" s="3" t="s">
        <v>4076</v>
      </c>
      <c r="G49" s="3" t="s">
        <v>4076</v>
      </c>
      <c r="H49" s="3" t="s">
        <v>4077</v>
      </c>
      <c r="I49" s="3" t="s">
        <v>4077</v>
      </c>
      <c r="J49" s="3" t="s">
        <v>4078</v>
      </c>
      <c r="K49" s="3" t="s">
        <v>4079</v>
      </c>
      <c r="L49" s="3" t="s">
        <v>4080</v>
      </c>
      <c r="M49" s="26">
        <v>38994.0</v>
      </c>
      <c r="N49" s="3" t="s">
        <v>4081</v>
      </c>
      <c r="O49" s="3" t="s">
        <v>4082</v>
      </c>
      <c r="P49" s="4"/>
      <c r="Q49" s="3" t="s">
        <v>4083</v>
      </c>
      <c r="R49" s="4"/>
      <c r="S49" s="3" t="s">
        <v>4084</v>
      </c>
      <c r="T49" s="3" t="s">
        <v>4085</v>
      </c>
      <c r="U49" s="3" t="s">
        <v>3020</v>
      </c>
      <c r="V49" s="3" t="s">
        <v>4086</v>
      </c>
      <c r="W49" s="3" t="s">
        <v>4086</v>
      </c>
      <c r="X49" s="3" t="s">
        <v>4087</v>
      </c>
      <c r="Y49" s="3" t="s">
        <v>969</v>
      </c>
      <c r="Z49" s="3" t="s">
        <v>4088</v>
      </c>
      <c r="AA49" s="3" t="s">
        <v>971</v>
      </c>
      <c r="AB49" s="4"/>
      <c r="AC49" s="3" t="s">
        <v>4089</v>
      </c>
      <c r="AD49" s="3" t="s">
        <v>4090</v>
      </c>
      <c r="AE49" s="3" t="s">
        <v>3264</v>
      </c>
      <c r="AF49" s="3" t="s">
        <v>4091</v>
      </c>
      <c r="AG49" s="3" t="s">
        <v>4092</v>
      </c>
      <c r="AH49" s="3" t="s">
        <v>971</v>
      </c>
      <c r="AI49" s="4"/>
      <c r="AJ49" s="3" t="s">
        <v>966</v>
      </c>
      <c r="AK49" s="4"/>
      <c r="AL49" s="3" t="s">
        <v>4093</v>
      </c>
      <c r="AM49" s="3" t="s">
        <v>4094</v>
      </c>
      <c r="AN49" s="3" t="s">
        <v>4095</v>
      </c>
      <c r="AO49" s="3" t="s">
        <v>4096</v>
      </c>
      <c r="AP49" s="3" t="s">
        <v>4097</v>
      </c>
      <c r="AQ49" s="3" t="s">
        <v>4098</v>
      </c>
      <c r="AR49" s="3" t="s">
        <v>4099</v>
      </c>
      <c r="AS49" s="3" t="s">
        <v>969</v>
      </c>
      <c r="AT49" s="3" t="s">
        <v>969</v>
      </c>
      <c r="AU49" s="3" t="s">
        <v>1039</v>
      </c>
      <c r="AV49" s="3" t="s">
        <v>4100</v>
      </c>
      <c r="AW49" s="3" t="s">
        <v>1596</v>
      </c>
      <c r="AX49" s="3" t="s">
        <v>969</v>
      </c>
      <c r="AY49" s="27">
        <v>15.99</v>
      </c>
    </row>
    <row r="50" ht="15.75" customHeight="1">
      <c r="A50" s="45">
        <v>49.0</v>
      </c>
      <c r="B50" s="24">
        <v>124.0</v>
      </c>
      <c r="C50" s="5" t="s">
        <v>1</v>
      </c>
      <c r="D50" s="3" t="s">
        <v>953</v>
      </c>
      <c r="E50" s="25">
        <v>46208.67708333334</v>
      </c>
      <c r="F50" s="3" t="s">
        <v>4101</v>
      </c>
      <c r="G50" s="3" t="s">
        <v>4102</v>
      </c>
      <c r="H50" s="3" t="s">
        <v>4103</v>
      </c>
      <c r="I50" s="3" t="s">
        <v>4104</v>
      </c>
      <c r="J50" s="3" t="s">
        <v>4105</v>
      </c>
      <c r="K50" s="3" t="s">
        <v>1916</v>
      </c>
      <c r="L50" s="3" t="s">
        <v>4106</v>
      </c>
      <c r="M50" s="26">
        <v>32473.0</v>
      </c>
      <c r="N50" s="3" t="s">
        <v>4107</v>
      </c>
      <c r="O50" s="3" t="s">
        <v>4108</v>
      </c>
      <c r="P50" s="4"/>
      <c r="Q50" s="3" t="s">
        <v>4109</v>
      </c>
      <c r="R50" s="4"/>
      <c r="S50" s="3" t="s">
        <v>4110</v>
      </c>
      <c r="T50" s="3" t="s">
        <v>4111</v>
      </c>
      <c r="U50" s="3" t="s">
        <v>1509</v>
      </c>
      <c r="V50" s="3" t="s">
        <v>993</v>
      </c>
      <c r="W50" s="3" t="s">
        <v>4112</v>
      </c>
      <c r="X50" s="3" t="s">
        <v>4113</v>
      </c>
      <c r="Y50" s="3" t="s">
        <v>971</v>
      </c>
      <c r="Z50" s="3" t="s">
        <v>3050</v>
      </c>
      <c r="AA50" s="3" t="s">
        <v>971</v>
      </c>
      <c r="AB50" s="4"/>
      <c r="AC50" s="3" t="s">
        <v>969</v>
      </c>
      <c r="AD50" s="3" t="s">
        <v>971</v>
      </c>
      <c r="AE50" s="4"/>
      <c r="AF50" s="4"/>
      <c r="AG50" s="4"/>
      <c r="AH50" s="3" t="s">
        <v>969</v>
      </c>
      <c r="AI50" s="3" t="s">
        <v>4114</v>
      </c>
      <c r="AJ50" s="4"/>
      <c r="AK50" s="4"/>
      <c r="AL50" s="3" t="s">
        <v>4115</v>
      </c>
      <c r="AM50" s="3" t="s">
        <v>4116</v>
      </c>
      <c r="AN50" s="3" t="s">
        <v>4117</v>
      </c>
      <c r="AO50" s="3" t="s">
        <v>4118</v>
      </c>
      <c r="AP50" s="3" t="s">
        <v>4119</v>
      </c>
      <c r="AQ50" s="3" t="s">
        <v>4120</v>
      </c>
      <c r="AR50" s="3" t="s">
        <v>4121</v>
      </c>
      <c r="AS50" s="3" t="s">
        <v>969</v>
      </c>
      <c r="AT50" s="3" t="s">
        <v>969</v>
      </c>
      <c r="AU50" s="3" t="s">
        <v>981</v>
      </c>
      <c r="AV50" s="3" t="s">
        <v>1287</v>
      </c>
      <c r="AW50" s="3" t="s">
        <v>4122</v>
      </c>
      <c r="AX50" s="3" t="s">
        <v>969</v>
      </c>
      <c r="AY50" s="27">
        <v>15.99</v>
      </c>
    </row>
    <row r="51" ht="15.75" customHeight="1">
      <c r="A51" s="45">
        <v>50.0</v>
      </c>
      <c r="B51" s="24">
        <v>120.0</v>
      </c>
      <c r="C51" s="5" t="s">
        <v>1</v>
      </c>
      <c r="D51" s="3" t="s">
        <v>953</v>
      </c>
      <c r="E51" s="25">
        <v>46208.57569444444</v>
      </c>
      <c r="F51" s="3" t="s">
        <v>4123</v>
      </c>
      <c r="G51" s="3" t="s">
        <v>4124</v>
      </c>
      <c r="H51" s="3" t="s">
        <v>4125</v>
      </c>
      <c r="I51" s="3" t="s">
        <v>4126</v>
      </c>
      <c r="J51" s="3" t="s">
        <v>4127</v>
      </c>
      <c r="K51" s="3" t="s">
        <v>4128</v>
      </c>
      <c r="L51" s="3" t="s">
        <v>4129</v>
      </c>
      <c r="M51" s="26">
        <v>38896.0</v>
      </c>
      <c r="N51" s="3" t="s">
        <v>4130</v>
      </c>
      <c r="O51" s="3" t="s">
        <v>4131</v>
      </c>
      <c r="P51" s="4"/>
      <c r="Q51" s="4"/>
      <c r="R51" s="4"/>
      <c r="S51" s="3" t="s">
        <v>4132</v>
      </c>
      <c r="T51" s="3" t="s">
        <v>4133</v>
      </c>
      <c r="U51" s="3" t="s">
        <v>4134</v>
      </c>
      <c r="V51" s="3" t="s">
        <v>4135</v>
      </c>
      <c r="W51" s="3" t="s">
        <v>4136</v>
      </c>
      <c r="X51" s="3" t="s">
        <v>4137</v>
      </c>
      <c r="Y51" s="3" t="s">
        <v>969</v>
      </c>
      <c r="Z51" s="4"/>
      <c r="AA51" s="3" t="s">
        <v>971</v>
      </c>
      <c r="AB51" s="4"/>
      <c r="AC51" s="4"/>
      <c r="AD51" s="3" t="s">
        <v>4138</v>
      </c>
      <c r="AE51" s="3" t="s">
        <v>4139</v>
      </c>
      <c r="AF51" s="3" t="s">
        <v>4140</v>
      </c>
      <c r="AG51" s="3" t="s">
        <v>1541</v>
      </c>
      <c r="AH51" s="3" t="s">
        <v>971</v>
      </c>
      <c r="AI51" s="4"/>
      <c r="AJ51" s="4"/>
      <c r="AK51" s="4"/>
      <c r="AL51" s="3" t="s">
        <v>4141</v>
      </c>
      <c r="AM51" s="3" t="s">
        <v>4142</v>
      </c>
      <c r="AN51" s="3" t="s">
        <v>4143</v>
      </c>
      <c r="AO51" s="3" t="s">
        <v>4144</v>
      </c>
      <c r="AP51" s="3" t="s">
        <v>4145</v>
      </c>
      <c r="AQ51" s="3" t="s">
        <v>4146</v>
      </c>
      <c r="AR51" s="3" t="s">
        <v>4147</v>
      </c>
      <c r="AS51" s="3" t="s">
        <v>969</v>
      </c>
      <c r="AT51" s="3" t="s">
        <v>969</v>
      </c>
      <c r="AU51" s="3" t="s">
        <v>1233</v>
      </c>
      <c r="AV51" s="3" t="s">
        <v>4148</v>
      </c>
      <c r="AW51" s="4"/>
      <c r="AX51" s="3" t="s">
        <v>969</v>
      </c>
      <c r="AY51" s="27">
        <v>15.99</v>
      </c>
    </row>
    <row r="52" ht="15.75" customHeight="1">
      <c r="A52" s="45">
        <v>51.0</v>
      </c>
      <c r="B52" s="24">
        <v>117.0</v>
      </c>
      <c r="C52" s="5" t="s">
        <v>1</v>
      </c>
      <c r="D52" s="3" t="s">
        <v>953</v>
      </c>
      <c r="E52" s="25">
        <v>46208.14305555556</v>
      </c>
      <c r="F52" s="3" t="s">
        <v>4149</v>
      </c>
      <c r="G52" s="3" t="s">
        <v>4150</v>
      </c>
      <c r="H52" s="3" t="s">
        <v>4151</v>
      </c>
      <c r="I52" s="3" t="s">
        <v>4152</v>
      </c>
      <c r="J52" s="3" t="s">
        <v>4153</v>
      </c>
      <c r="K52" s="3" t="s">
        <v>1653</v>
      </c>
      <c r="L52" s="3" t="s">
        <v>4154</v>
      </c>
      <c r="M52" s="26">
        <v>32997.0</v>
      </c>
      <c r="N52" s="3" t="s">
        <v>4155</v>
      </c>
      <c r="O52" s="3" t="s">
        <v>4156</v>
      </c>
      <c r="P52" s="4"/>
      <c r="Q52" s="4"/>
      <c r="R52" s="4"/>
      <c r="S52" s="3" t="s">
        <v>4157</v>
      </c>
      <c r="T52" s="3" t="s">
        <v>4158</v>
      </c>
      <c r="U52" s="3" t="s">
        <v>4159</v>
      </c>
      <c r="V52" s="3" t="s">
        <v>4160</v>
      </c>
      <c r="W52" s="3" t="s">
        <v>4161</v>
      </c>
      <c r="X52" s="3" t="s">
        <v>4162</v>
      </c>
      <c r="Y52" s="3" t="s">
        <v>969</v>
      </c>
      <c r="Z52" s="3" t="s">
        <v>4163</v>
      </c>
      <c r="AA52" s="3" t="s">
        <v>971</v>
      </c>
      <c r="AB52" s="4"/>
      <c r="AC52" s="3" t="s">
        <v>4164</v>
      </c>
      <c r="AD52" s="3" t="s">
        <v>4165</v>
      </c>
      <c r="AE52" s="4"/>
      <c r="AF52" s="3" t="s">
        <v>4166</v>
      </c>
      <c r="AG52" s="3" t="s">
        <v>1878</v>
      </c>
      <c r="AH52" s="3" t="s">
        <v>969</v>
      </c>
      <c r="AI52" s="3" t="s">
        <v>4167</v>
      </c>
      <c r="AJ52" s="3" t="s">
        <v>6</v>
      </c>
      <c r="AK52" s="3" t="s">
        <v>4168</v>
      </c>
      <c r="AL52" s="3" t="s">
        <v>4169</v>
      </c>
      <c r="AM52" s="3" t="s">
        <v>4170</v>
      </c>
      <c r="AN52" s="3" t="s">
        <v>4171</v>
      </c>
      <c r="AO52" s="3" t="s">
        <v>4172</v>
      </c>
      <c r="AP52" s="3" t="s">
        <v>4173</v>
      </c>
      <c r="AQ52" s="3" t="s">
        <v>4174</v>
      </c>
      <c r="AR52" s="3" t="s">
        <v>4175</v>
      </c>
      <c r="AS52" s="3" t="s">
        <v>969</v>
      </c>
      <c r="AT52" s="3" t="s">
        <v>969</v>
      </c>
      <c r="AU52" s="3" t="s">
        <v>1039</v>
      </c>
      <c r="AV52" s="3" t="s">
        <v>4176</v>
      </c>
      <c r="AW52" s="3" t="s">
        <v>4177</v>
      </c>
      <c r="AX52" s="3" t="s">
        <v>969</v>
      </c>
      <c r="AY52" s="27">
        <v>15.99</v>
      </c>
    </row>
    <row r="53" ht="15.75" customHeight="1">
      <c r="A53" s="45">
        <v>52.0</v>
      </c>
      <c r="B53" s="24">
        <v>116.0</v>
      </c>
      <c r="C53" s="5" t="s">
        <v>1</v>
      </c>
      <c r="D53" s="3" t="s">
        <v>953</v>
      </c>
      <c r="E53" s="25">
        <v>46207.98541666667</v>
      </c>
      <c r="F53" s="3" t="s">
        <v>4178</v>
      </c>
      <c r="G53" s="3" t="s">
        <v>4179</v>
      </c>
      <c r="H53" s="3" t="s">
        <v>4180</v>
      </c>
      <c r="I53" s="3" t="s">
        <v>4181</v>
      </c>
      <c r="J53" s="3" t="s">
        <v>4182</v>
      </c>
      <c r="K53" s="3" t="s">
        <v>1653</v>
      </c>
      <c r="L53" s="3" t="s">
        <v>4183</v>
      </c>
      <c r="M53" s="26">
        <v>36526.0</v>
      </c>
      <c r="N53" s="3" t="s">
        <v>4184</v>
      </c>
      <c r="O53" s="3" t="s">
        <v>4185</v>
      </c>
      <c r="P53" s="4"/>
      <c r="Q53" s="3" t="s">
        <v>4186</v>
      </c>
      <c r="R53" s="4"/>
      <c r="S53" s="3" t="s">
        <v>4187</v>
      </c>
      <c r="T53" s="3" t="s">
        <v>4188</v>
      </c>
      <c r="U53" s="3" t="s">
        <v>1396</v>
      </c>
      <c r="V53" s="3" t="s">
        <v>4189</v>
      </c>
      <c r="W53" s="3" t="s">
        <v>4190</v>
      </c>
      <c r="X53" s="3" t="s">
        <v>4191</v>
      </c>
      <c r="Y53" s="3" t="s">
        <v>971</v>
      </c>
      <c r="Z53" s="3" t="s">
        <v>1979</v>
      </c>
      <c r="AA53" s="3" t="s">
        <v>971</v>
      </c>
      <c r="AB53" s="4"/>
      <c r="AC53" s="3" t="s">
        <v>1426</v>
      </c>
      <c r="AD53" s="3" t="s">
        <v>4192</v>
      </c>
      <c r="AE53" s="3" t="s">
        <v>4193</v>
      </c>
      <c r="AF53" s="3" t="s">
        <v>4194</v>
      </c>
      <c r="AG53" s="3" t="s">
        <v>4195</v>
      </c>
      <c r="AH53" s="3" t="s">
        <v>969</v>
      </c>
      <c r="AI53" s="3" t="s">
        <v>4196</v>
      </c>
      <c r="AJ53" s="3" t="s">
        <v>6</v>
      </c>
      <c r="AK53" s="3" t="s">
        <v>4197</v>
      </c>
      <c r="AL53" s="3" t="s">
        <v>4198</v>
      </c>
      <c r="AM53" s="3" t="s">
        <v>4199</v>
      </c>
      <c r="AN53" s="3" t="s">
        <v>4200</v>
      </c>
      <c r="AO53" s="3" t="s">
        <v>4201</v>
      </c>
      <c r="AP53" s="3" t="s">
        <v>4202</v>
      </c>
      <c r="AQ53" s="3" t="s">
        <v>4203</v>
      </c>
      <c r="AR53" s="3" t="s">
        <v>4204</v>
      </c>
      <c r="AS53" s="3" t="s">
        <v>969</v>
      </c>
      <c r="AT53" s="3" t="s">
        <v>969</v>
      </c>
      <c r="AU53" s="3" t="s">
        <v>1409</v>
      </c>
      <c r="AV53" s="3" t="s">
        <v>1287</v>
      </c>
      <c r="AW53" s="3" t="s">
        <v>4205</v>
      </c>
      <c r="AX53" s="3" t="s">
        <v>969</v>
      </c>
      <c r="AY53" s="27">
        <v>15.99</v>
      </c>
    </row>
    <row r="54" ht="15.75" customHeight="1">
      <c r="A54" s="45">
        <v>53.0</v>
      </c>
      <c r="B54" s="24">
        <v>111.0</v>
      </c>
      <c r="C54" s="5" t="s">
        <v>1</v>
      </c>
      <c r="D54" s="3" t="s">
        <v>953</v>
      </c>
      <c r="E54" s="25">
        <v>46207.61597222222</v>
      </c>
      <c r="F54" s="3" t="s">
        <v>4206</v>
      </c>
      <c r="G54" s="3" t="s">
        <v>4206</v>
      </c>
      <c r="H54" s="3" t="s">
        <v>4207</v>
      </c>
      <c r="I54" s="3" t="s">
        <v>4208</v>
      </c>
      <c r="J54" s="3" t="s">
        <v>4209</v>
      </c>
      <c r="K54" s="3" t="s">
        <v>1015</v>
      </c>
      <c r="L54" s="3" t="s">
        <v>4210</v>
      </c>
      <c r="M54" s="26">
        <v>34756.0</v>
      </c>
      <c r="N54" s="3" t="s">
        <v>4211</v>
      </c>
      <c r="O54" s="3" t="s">
        <v>4212</v>
      </c>
      <c r="P54" s="3" t="s">
        <v>4213</v>
      </c>
      <c r="Q54" s="3" t="s">
        <v>4214</v>
      </c>
      <c r="R54" s="3" t="s">
        <v>4206</v>
      </c>
      <c r="S54" s="3" t="s">
        <v>4215</v>
      </c>
      <c r="T54" s="3" t="s">
        <v>4216</v>
      </c>
      <c r="U54" s="3" t="s">
        <v>4217</v>
      </c>
      <c r="V54" s="3" t="s">
        <v>4218</v>
      </c>
      <c r="W54" s="3" t="s">
        <v>4219</v>
      </c>
      <c r="X54" s="3" t="s">
        <v>4220</v>
      </c>
      <c r="Y54" s="3" t="s">
        <v>969</v>
      </c>
      <c r="Z54" s="3" t="s">
        <v>1026</v>
      </c>
      <c r="AA54" s="3" t="s">
        <v>971</v>
      </c>
      <c r="AB54" s="4"/>
      <c r="AC54" s="3" t="s">
        <v>4221</v>
      </c>
      <c r="AD54" s="3" t="s">
        <v>4222</v>
      </c>
      <c r="AE54" s="3" t="s">
        <v>4223</v>
      </c>
      <c r="AF54" s="3" t="s">
        <v>1250</v>
      </c>
      <c r="AG54" s="3" t="s">
        <v>1611</v>
      </c>
      <c r="AH54" s="3" t="s">
        <v>969</v>
      </c>
      <c r="AI54" s="3" t="s">
        <v>4224</v>
      </c>
      <c r="AJ54" s="3" t="s">
        <v>971</v>
      </c>
      <c r="AK54" s="3" t="s">
        <v>1684</v>
      </c>
      <c r="AL54" s="3" t="s">
        <v>4225</v>
      </c>
      <c r="AM54" s="3" t="s">
        <v>4226</v>
      </c>
      <c r="AN54" s="3" t="s">
        <v>4227</v>
      </c>
      <c r="AO54" s="3" t="s">
        <v>4228</v>
      </c>
      <c r="AP54" s="3" t="s">
        <v>4229</v>
      </c>
      <c r="AQ54" s="3" t="s">
        <v>4230</v>
      </c>
      <c r="AR54" s="3" t="s">
        <v>4231</v>
      </c>
      <c r="AS54" s="3" t="s">
        <v>969</v>
      </c>
      <c r="AT54" s="3" t="s">
        <v>969</v>
      </c>
      <c r="AU54" s="3" t="s">
        <v>1039</v>
      </c>
      <c r="AV54" s="3" t="s">
        <v>1287</v>
      </c>
      <c r="AW54" s="3" t="s">
        <v>4232</v>
      </c>
      <c r="AX54" s="3" t="s">
        <v>969</v>
      </c>
      <c r="AY54" s="27">
        <v>15.99</v>
      </c>
    </row>
    <row r="55" ht="15.75" customHeight="1">
      <c r="A55" s="45">
        <v>54.0</v>
      </c>
      <c r="B55" s="24">
        <v>109.0</v>
      </c>
      <c r="C55" s="5" t="s">
        <v>1</v>
      </c>
      <c r="D55" s="3" t="s">
        <v>953</v>
      </c>
      <c r="E55" s="25">
        <v>46207.60277777778</v>
      </c>
      <c r="F55" s="3" t="s">
        <v>4233</v>
      </c>
      <c r="G55" s="3" t="s">
        <v>4233</v>
      </c>
      <c r="H55" s="3" t="s">
        <v>4234</v>
      </c>
      <c r="I55" s="3" t="s">
        <v>4235</v>
      </c>
      <c r="J55" s="3" t="s">
        <v>4236</v>
      </c>
      <c r="K55" s="3" t="s">
        <v>4237</v>
      </c>
      <c r="L55" s="3" t="s">
        <v>4238</v>
      </c>
      <c r="M55" s="26">
        <v>37772.0</v>
      </c>
      <c r="N55" s="3" t="s">
        <v>4239</v>
      </c>
      <c r="O55" s="3" t="s">
        <v>4240</v>
      </c>
      <c r="P55" s="3" t="s">
        <v>4241</v>
      </c>
      <c r="Q55" s="3" t="s">
        <v>4242</v>
      </c>
      <c r="R55" s="4"/>
      <c r="S55" s="3" t="s">
        <v>4243</v>
      </c>
      <c r="T55" s="3" t="s">
        <v>4244</v>
      </c>
      <c r="U55" s="3" t="s">
        <v>1050</v>
      </c>
      <c r="V55" s="3" t="s">
        <v>1050</v>
      </c>
      <c r="W55" s="3" t="s">
        <v>4245</v>
      </c>
      <c r="X55" s="3" t="s">
        <v>4246</v>
      </c>
      <c r="Y55" s="3" t="s">
        <v>971</v>
      </c>
      <c r="Z55" s="3" t="s">
        <v>4237</v>
      </c>
      <c r="AA55" s="3" t="s">
        <v>969</v>
      </c>
      <c r="AB55" s="3" t="s">
        <v>4247</v>
      </c>
      <c r="AC55" s="3" t="s">
        <v>4248</v>
      </c>
      <c r="AD55" s="3" t="s">
        <v>4249</v>
      </c>
      <c r="AE55" s="3" t="s">
        <v>4250</v>
      </c>
      <c r="AF55" s="3" t="s">
        <v>4251</v>
      </c>
      <c r="AG55" s="3" t="s">
        <v>4252</v>
      </c>
      <c r="AH55" s="3" t="s">
        <v>969</v>
      </c>
      <c r="AI55" s="3" t="s">
        <v>4253</v>
      </c>
      <c r="AJ55" s="3" t="s">
        <v>2733</v>
      </c>
      <c r="AK55" s="4"/>
      <c r="AL55" s="3" t="s">
        <v>4254</v>
      </c>
      <c r="AM55" s="3" t="s">
        <v>4255</v>
      </c>
      <c r="AN55" s="3" t="s">
        <v>4256</v>
      </c>
      <c r="AO55" s="3" t="s">
        <v>4257</v>
      </c>
      <c r="AP55" s="3" t="s">
        <v>4258</v>
      </c>
      <c r="AQ55" s="3" t="s">
        <v>4259</v>
      </c>
      <c r="AR55" s="3" t="s">
        <v>4260</v>
      </c>
      <c r="AS55" s="3" t="s">
        <v>969</v>
      </c>
      <c r="AT55" s="3" t="s">
        <v>971</v>
      </c>
      <c r="AU55" s="3" t="s">
        <v>981</v>
      </c>
      <c r="AV55" s="3" t="s">
        <v>2049</v>
      </c>
      <c r="AW55" s="3" t="s">
        <v>1288</v>
      </c>
      <c r="AX55" s="3" t="s">
        <v>969</v>
      </c>
      <c r="AY55" s="27">
        <v>15.99</v>
      </c>
    </row>
    <row r="56" ht="15.75" customHeight="1">
      <c r="A56" s="45">
        <v>55.0</v>
      </c>
      <c r="B56" s="24">
        <v>101.0</v>
      </c>
      <c r="C56" s="5" t="s">
        <v>1</v>
      </c>
      <c r="D56" s="3" t="s">
        <v>953</v>
      </c>
      <c r="E56" s="25">
        <v>46206.33958333333</v>
      </c>
      <c r="F56" s="3" t="s">
        <v>4261</v>
      </c>
      <c r="G56" s="3" t="s">
        <v>4262</v>
      </c>
      <c r="H56" s="3" t="s">
        <v>4263</v>
      </c>
      <c r="I56" s="3" t="s">
        <v>4264</v>
      </c>
      <c r="J56" s="4"/>
      <c r="K56" s="3" t="s">
        <v>130</v>
      </c>
      <c r="L56" s="3" t="s">
        <v>4265</v>
      </c>
      <c r="M56" s="26">
        <v>39196.0</v>
      </c>
      <c r="N56" s="3" t="s">
        <v>4266</v>
      </c>
      <c r="O56" s="3" t="s">
        <v>4267</v>
      </c>
      <c r="P56" s="4"/>
      <c r="Q56" s="4"/>
      <c r="R56" s="4"/>
      <c r="S56" s="3" t="s">
        <v>963</v>
      </c>
      <c r="T56" s="3" t="s">
        <v>4268</v>
      </c>
      <c r="U56" s="3" t="s">
        <v>1124</v>
      </c>
      <c r="V56" s="3" t="s">
        <v>4269</v>
      </c>
      <c r="W56" s="3" t="s">
        <v>1397</v>
      </c>
      <c r="X56" s="3" t="s">
        <v>4270</v>
      </c>
      <c r="Y56" s="3" t="s">
        <v>969</v>
      </c>
      <c r="Z56" s="3" t="s">
        <v>1425</v>
      </c>
      <c r="AA56" s="3" t="s">
        <v>971</v>
      </c>
      <c r="AB56" s="3" t="s">
        <v>4270</v>
      </c>
      <c r="AC56" s="4"/>
      <c r="AD56" s="3" t="s">
        <v>4271</v>
      </c>
      <c r="AE56" s="3" t="s">
        <v>4272</v>
      </c>
      <c r="AF56" s="3" t="s">
        <v>4273</v>
      </c>
      <c r="AG56" s="3" t="s">
        <v>1030</v>
      </c>
      <c r="AH56" s="3" t="s">
        <v>971</v>
      </c>
      <c r="AI56" s="4"/>
      <c r="AJ56" s="3" t="s">
        <v>4274</v>
      </c>
      <c r="AK56" s="3" t="s">
        <v>4275</v>
      </c>
      <c r="AL56" s="3" t="s">
        <v>4276</v>
      </c>
      <c r="AM56" s="3" t="s">
        <v>4277</v>
      </c>
      <c r="AN56" s="3" t="s">
        <v>4278</v>
      </c>
      <c r="AO56" s="3" t="s">
        <v>4279</v>
      </c>
      <c r="AP56" s="3" t="s">
        <v>4280</v>
      </c>
      <c r="AQ56" s="3" t="s">
        <v>4281</v>
      </c>
      <c r="AR56" s="3" t="s">
        <v>4282</v>
      </c>
      <c r="AS56" s="3" t="s">
        <v>969</v>
      </c>
      <c r="AT56" s="3" t="s">
        <v>969</v>
      </c>
      <c r="AU56" s="3" t="s">
        <v>981</v>
      </c>
      <c r="AV56" s="3" t="s">
        <v>917</v>
      </c>
      <c r="AW56" s="4"/>
      <c r="AX56" s="3" t="s">
        <v>969</v>
      </c>
      <c r="AY56" s="27">
        <v>15.99</v>
      </c>
    </row>
    <row r="57" ht="15.75" customHeight="1">
      <c r="A57" s="45">
        <v>56.0</v>
      </c>
      <c r="B57" s="24">
        <v>99.0</v>
      </c>
      <c r="C57" s="5" t="s">
        <v>1</v>
      </c>
      <c r="D57" s="3" t="s">
        <v>953</v>
      </c>
      <c r="E57" s="25">
        <v>46205.77569444444</v>
      </c>
      <c r="F57" s="3" t="s">
        <v>4283</v>
      </c>
      <c r="G57" s="3" t="s">
        <v>4283</v>
      </c>
      <c r="H57" s="3" t="s">
        <v>4284</v>
      </c>
      <c r="I57" s="3" t="s">
        <v>4285</v>
      </c>
      <c r="J57" s="3" t="s">
        <v>4286</v>
      </c>
      <c r="K57" s="3" t="s">
        <v>4287</v>
      </c>
      <c r="L57" s="3" t="s">
        <v>4288</v>
      </c>
      <c r="M57" s="26">
        <v>35326.0</v>
      </c>
      <c r="N57" s="3" t="s">
        <v>4289</v>
      </c>
      <c r="O57" s="3" t="s">
        <v>4290</v>
      </c>
      <c r="P57" s="3" t="s">
        <v>4291</v>
      </c>
      <c r="Q57" s="3" t="s">
        <v>4292</v>
      </c>
      <c r="R57" s="4"/>
      <c r="S57" s="3" t="s">
        <v>4293</v>
      </c>
      <c r="T57" s="3" t="s">
        <v>4294</v>
      </c>
      <c r="U57" s="3" t="s">
        <v>3233</v>
      </c>
      <c r="V57" s="3" t="s">
        <v>4295</v>
      </c>
      <c r="W57" s="3" t="s">
        <v>4296</v>
      </c>
      <c r="X57" s="3" t="s">
        <v>4297</v>
      </c>
      <c r="Y57" s="3" t="s">
        <v>969</v>
      </c>
      <c r="Z57" s="3" t="s">
        <v>1825</v>
      </c>
      <c r="AA57" s="3" t="s">
        <v>969</v>
      </c>
      <c r="AB57" s="3" t="s">
        <v>4298</v>
      </c>
      <c r="AC57" s="3" t="s">
        <v>4299</v>
      </c>
      <c r="AD57" s="3" t="s">
        <v>4300</v>
      </c>
      <c r="AE57" s="3" t="s">
        <v>4301</v>
      </c>
      <c r="AF57" s="3" t="s">
        <v>4302</v>
      </c>
      <c r="AG57" s="3" t="s">
        <v>4303</v>
      </c>
      <c r="AH57" s="3" t="s">
        <v>971</v>
      </c>
      <c r="AI57" s="4"/>
      <c r="AJ57" s="3" t="s">
        <v>969</v>
      </c>
      <c r="AK57" s="3" t="s">
        <v>4304</v>
      </c>
      <c r="AL57" s="3" t="s">
        <v>4305</v>
      </c>
      <c r="AM57" s="3" t="s">
        <v>4306</v>
      </c>
      <c r="AN57" s="3" t="s">
        <v>4307</v>
      </c>
      <c r="AO57" s="3" t="s">
        <v>4308</v>
      </c>
      <c r="AP57" s="3" t="s">
        <v>4309</v>
      </c>
      <c r="AQ57" s="3" t="s">
        <v>4310</v>
      </c>
      <c r="AR57" s="3" t="s">
        <v>4311</v>
      </c>
      <c r="AS57" s="3" t="s">
        <v>969</v>
      </c>
      <c r="AT57" s="3" t="s">
        <v>969</v>
      </c>
      <c r="AU57" s="3" t="s">
        <v>981</v>
      </c>
      <c r="AV57" s="3" t="s">
        <v>4312</v>
      </c>
      <c r="AW57" s="4"/>
      <c r="AX57" s="3" t="s">
        <v>969</v>
      </c>
      <c r="AY57" s="27">
        <v>15.99</v>
      </c>
    </row>
    <row r="58" ht="15.75" customHeight="1">
      <c r="A58" s="45">
        <v>57.0</v>
      </c>
      <c r="B58" s="24">
        <v>96.0</v>
      </c>
      <c r="C58" s="5" t="s">
        <v>1</v>
      </c>
      <c r="D58" s="3" t="s">
        <v>953</v>
      </c>
      <c r="E58" s="25">
        <v>46205.04305555556</v>
      </c>
      <c r="F58" s="3" t="s">
        <v>4313</v>
      </c>
      <c r="G58" s="3" t="s">
        <v>4313</v>
      </c>
      <c r="H58" s="3" t="s">
        <v>4314</v>
      </c>
      <c r="I58" s="3" t="s">
        <v>4315</v>
      </c>
      <c r="J58" s="3" t="s">
        <v>4316</v>
      </c>
      <c r="K58" s="3" t="s">
        <v>4317</v>
      </c>
      <c r="L58" s="3" t="s">
        <v>4318</v>
      </c>
      <c r="M58" s="26">
        <v>35400.0</v>
      </c>
      <c r="N58" s="3" t="s">
        <v>4319</v>
      </c>
      <c r="O58" s="3" t="s">
        <v>4320</v>
      </c>
      <c r="P58" s="3" t="s">
        <v>4321</v>
      </c>
      <c r="Q58" s="3" t="s">
        <v>4322</v>
      </c>
      <c r="R58" s="4"/>
      <c r="S58" s="3" t="s">
        <v>4323</v>
      </c>
      <c r="T58" s="3" t="s">
        <v>4324</v>
      </c>
      <c r="U58" s="3" t="s">
        <v>4325</v>
      </c>
      <c r="V58" s="3" t="s">
        <v>4326</v>
      </c>
      <c r="W58" s="3" t="s">
        <v>4327</v>
      </c>
      <c r="X58" s="3" t="s">
        <v>4328</v>
      </c>
      <c r="Y58" s="3" t="s">
        <v>969</v>
      </c>
      <c r="Z58" s="3" t="s">
        <v>4329</v>
      </c>
      <c r="AA58" s="3" t="s">
        <v>971</v>
      </c>
      <c r="AB58" s="4"/>
      <c r="AC58" s="3" t="s">
        <v>4330</v>
      </c>
      <c r="AD58" s="3" t="s">
        <v>4331</v>
      </c>
      <c r="AE58" s="3" t="s">
        <v>4332</v>
      </c>
      <c r="AF58" s="3" t="s">
        <v>4333</v>
      </c>
      <c r="AG58" s="3" t="s">
        <v>1878</v>
      </c>
      <c r="AH58" s="3" t="s">
        <v>971</v>
      </c>
      <c r="AI58" s="3" t="s">
        <v>4334</v>
      </c>
      <c r="AJ58" s="3" t="s">
        <v>4335</v>
      </c>
      <c r="AK58" s="3" t="s">
        <v>4336</v>
      </c>
      <c r="AL58" s="3" t="s">
        <v>4337</v>
      </c>
      <c r="AM58" s="3" t="s">
        <v>4338</v>
      </c>
      <c r="AN58" s="3" t="s">
        <v>4339</v>
      </c>
      <c r="AO58" s="3" t="s">
        <v>4340</v>
      </c>
      <c r="AP58" s="3" t="s">
        <v>4341</v>
      </c>
      <c r="AQ58" s="3" t="s">
        <v>4342</v>
      </c>
      <c r="AR58" s="3" t="s">
        <v>4343</v>
      </c>
      <c r="AS58" s="3" t="s">
        <v>969</v>
      </c>
      <c r="AT58" s="3" t="s">
        <v>969</v>
      </c>
      <c r="AU58" s="3" t="s">
        <v>981</v>
      </c>
      <c r="AV58" s="3" t="s">
        <v>1261</v>
      </c>
      <c r="AW58" s="3" t="s">
        <v>4344</v>
      </c>
      <c r="AX58" s="3" t="s">
        <v>969</v>
      </c>
      <c r="AY58" s="27">
        <v>15.99</v>
      </c>
    </row>
    <row r="59" ht="15.75" customHeight="1">
      <c r="A59" s="45">
        <v>58.0</v>
      </c>
      <c r="B59" s="24">
        <v>95.0</v>
      </c>
      <c r="C59" s="5" t="s">
        <v>1</v>
      </c>
      <c r="D59" s="3" t="s">
        <v>953</v>
      </c>
      <c r="E59" s="25">
        <v>46204.73125</v>
      </c>
      <c r="F59" s="3" t="s">
        <v>4345</v>
      </c>
      <c r="G59" s="3" t="s">
        <v>4346</v>
      </c>
      <c r="H59" s="3" t="s">
        <v>4347</v>
      </c>
      <c r="I59" s="3" t="s">
        <v>4348</v>
      </c>
      <c r="J59" s="3" t="s">
        <v>4349</v>
      </c>
      <c r="K59" s="3" t="s">
        <v>2348</v>
      </c>
      <c r="L59" s="3" t="s">
        <v>4350</v>
      </c>
      <c r="M59" s="26">
        <v>40750.0</v>
      </c>
      <c r="N59" s="3" t="s">
        <v>4351</v>
      </c>
      <c r="O59" s="3" t="s">
        <v>4352</v>
      </c>
      <c r="P59" s="4"/>
      <c r="Q59" s="4"/>
      <c r="R59" s="4"/>
      <c r="S59" s="3" t="s">
        <v>4353</v>
      </c>
      <c r="T59" s="3" t="s">
        <v>4354</v>
      </c>
      <c r="U59" s="3" t="s">
        <v>4355</v>
      </c>
      <c r="V59" s="3" t="s">
        <v>4356</v>
      </c>
      <c r="W59" s="3" t="s">
        <v>4357</v>
      </c>
      <c r="X59" s="3" t="s">
        <v>4358</v>
      </c>
      <c r="Y59" s="3" t="s">
        <v>969</v>
      </c>
      <c r="Z59" s="3" t="s">
        <v>2332</v>
      </c>
      <c r="AA59" s="3" t="s">
        <v>971</v>
      </c>
      <c r="AB59" s="4"/>
      <c r="AC59" s="4"/>
      <c r="AD59" s="3" t="s">
        <v>4359</v>
      </c>
      <c r="AE59" s="3" t="s">
        <v>4360</v>
      </c>
      <c r="AF59" s="3" t="s">
        <v>4361</v>
      </c>
      <c r="AG59" s="3" t="s">
        <v>1002</v>
      </c>
      <c r="AH59" s="3" t="s">
        <v>971</v>
      </c>
      <c r="AI59" s="4"/>
      <c r="AJ59" s="4"/>
      <c r="AK59" s="4"/>
      <c r="AL59" s="3" t="s">
        <v>4362</v>
      </c>
      <c r="AM59" s="3" t="s">
        <v>4363</v>
      </c>
      <c r="AN59" s="3" t="s">
        <v>4364</v>
      </c>
      <c r="AO59" s="3" t="s">
        <v>4365</v>
      </c>
      <c r="AP59" s="3" t="s">
        <v>4366</v>
      </c>
      <c r="AQ59" s="3" t="s">
        <v>4367</v>
      </c>
      <c r="AR59" s="3" t="s">
        <v>4368</v>
      </c>
      <c r="AS59" s="3" t="s">
        <v>971</v>
      </c>
      <c r="AT59" s="3" t="s">
        <v>971</v>
      </c>
      <c r="AU59" s="3" t="s">
        <v>1039</v>
      </c>
      <c r="AV59" s="3" t="s">
        <v>1938</v>
      </c>
      <c r="AW59" s="3" t="s">
        <v>1288</v>
      </c>
      <c r="AX59" s="3" t="s">
        <v>969</v>
      </c>
      <c r="AY59" s="27">
        <v>15.99</v>
      </c>
    </row>
    <row r="60" ht="15.75" customHeight="1">
      <c r="A60" s="45">
        <v>59.0</v>
      </c>
      <c r="B60" s="24">
        <v>91.0</v>
      </c>
      <c r="C60" s="5" t="s">
        <v>1</v>
      </c>
      <c r="D60" s="3" t="s">
        <v>953</v>
      </c>
      <c r="E60" s="25">
        <v>46203.88819444444</v>
      </c>
      <c r="F60" s="3" t="s">
        <v>4369</v>
      </c>
      <c r="G60" s="3" t="s">
        <v>4370</v>
      </c>
      <c r="H60" s="3" t="s">
        <v>4371</v>
      </c>
      <c r="I60" s="3" t="s">
        <v>4372</v>
      </c>
      <c r="J60" s="3" t="s">
        <v>4373</v>
      </c>
      <c r="K60" s="3" t="s">
        <v>4374</v>
      </c>
      <c r="L60" s="3" t="s">
        <v>4375</v>
      </c>
      <c r="M60" s="26">
        <v>35564.0</v>
      </c>
      <c r="N60" s="3" t="s">
        <v>4376</v>
      </c>
      <c r="O60" s="3" t="s">
        <v>4377</v>
      </c>
      <c r="P60" s="3" t="s">
        <v>4378</v>
      </c>
      <c r="Q60" s="3" t="s">
        <v>4379</v>
      </c>
      <c r="R60" s="4"/>
      <c r="S60" s="3" t="s">
        <v>4380</v>
      </c>
      <c r="T60" s="3" t="s">
        <v>2328</v>
      </c>
      <c r="U60" s="3" t="s">
        <v>1370</v>
      </c>
      <c r="V60" s="3" t="s">
        <v>1370</v>
      </c>
      <c r="W60" s="3" t="s">
        <v>4381</v>
      </c>
      <c r="X60" s="3" t="s">
        <v>4382</v>
      </c>
      <c r="Y60" s="3" t="s">
        <v>971</v>
      </c>
      <c r="Z60" s="3" t="s">
        <v>4374</v>
      </c>
      <c r="AA60" s="3" t="s">
        <v>971</v>
      </c>
      <c r="AB60" s="4"/>
      <c r="AC60" s="3" t="s">
        <v>4383</v>
      </c>
      <c r="AD60" s="3" t="s">
        <v>4384</v>
      </c>
      <c r="AE60" s="3" t="s">
        <v>4385</v>
      </c>
      <c r="AF60" s="3" t="s">
        <v>4386</v>
      </c>
      <c r="AG60" s="3" t="s">
        <v>4387</v>
      </c>
      <c r="AH60" s="3" t="s">
        <v>969</v>
      </c>
      <c r="AI60" s="3" t="s">
        <v>4386</v>
      </c>
      <c r="AJ60" s="3" t="s">
        <v>969</v>
      </c>
      <c r="AK60" s="3" t="s">
        <v>4388</v>
      </c>
      <c r="AL60" s="3" t="s">
        <v>4389</v>
      </c>
      <c r="AM60" s="3" t="s">
        <v>4390</v>
      </c>
      <c r="AN60" s="3" t="s">
        <v>4391</v>
      </c>
      <c r="AO60" s="3" t="s">
        <v>4392</v>
      </c>
      <c r="AP60" s="3" t="s">
        <v>4393</v>
      </c>
      <c r="AQ60" s="3" t="s">
        <v>4394</v>
      </c>
      <c r="AR60" s="3" t="s">
        <v>4395</v>
      </c>
      <c r="AS60" s="3" t="s">
        <v>969</v>
      </c>
      <c r="AT60" s="3" t="s">
        <v>969</v>
      </c>
      <c r="AU60" s="3" t="s">
        <v>1260</v>
      </c>
      <c r="AV60" s="3" t="s">
        <v>4396</v>
      </c>
      <c r="AW60" s="3" t="s">
        <v>4397</v>
      </c>
      <c r="AX60" s="3" t="s">
        <v>969</v>
      </c>
      <c r="AY60" s="27">
        <v>15.99</v>
      </c>
    </row>
    <row r="61" ht="15.75" customHeight="1">
      <c r="A61" s="45">
        <v>60.0</v>
      </c>
      <c r="B61" s="24">
        <v>79.0</v>
      </c>
      <c r="C61" s="5" t="s">
        <v>1</v>
      </c>
      <c r="D61" s="3" t="s">
        <v>953</v>
      </c>
      <c r="E61" s="25">
        <v>46201.26666666667</v>
      </c>
      <c r="F61" s="3" t="s">
        <v>4398</v>
      </c>
      <c r="G61" s="3" t="s">
        <v>4398</v>
      </c>
      <c r="H61" s="3" t="s">
        <v>4399</v>
      </c>
      <c r="I61" s="3" t="s">
        <v>4400</v>
      </c>
      <c r="J61" s="3" t="s">
        <v>4401</v>
      </c>
      <c r="K61" s="3" t="s">
        <v>4402</v>
      </c>
      <c r="L61" s="3" t="s">
        <v>4403</v>
      </c>
      <c r="M61" s="26">
        <v>39560.0</v>
      </c>
      <c r="N61" s="3" t="s">
        <v>4404</v>
      </c>
      <c r="O61" s="3" t="s">
        <v>4403</v>
      </c>
      <c r="P61" s="3" t="s">
        <v>4405</v>
      </c>
      <c r="Q61" s="4"/>
      <c r="R61" s="4"/>
      <c r="S61" s="3" t="s">
        <v>4406</v>
      </c>
      <c r="T61" s="3" t="s">
        <v>4407</v>
      </c>
      <c r="U61" s="3" t="s">
        <v>4408</v>
      </c>
      <c r="V61" s="3" t="s">
        <v>4409</v>
      </c>
      <c r="W61" s="3" t="s">
        <v>4410</v>
      </c>
      <c r="X61" s="3" t="s">
        <v>4411</v>
      </c>
      <c r="Y61" s="3" t="s">
        <v>969</v>
      </c>
      <c r="Z61" s="3" t="s">
        <v>3155</v>
      </c>
      <c r="AA61" s="3" t="s">
        <v>969</v>
      </c>
      <c r="AB61" s="3" t="s">
        <v>4412</v>
      </c>
      <c r="AC61" s="3" t="s">
        <v>4413</v>
      </c>
      <c r="AD61" s="3" t="s">
        <v>4414</v>
      </c>
      <c r="AE61" s="3" t="s">
        <v>4415</v>
      </c>
      <c r="AF61" s="3" t="s">
        <v>4416</v>
      </c>
      <c r="AG61" s="3" t="s">
        <v>1541</v>
      </c>
      <c r="AH61" s="3" t="s">
        <v>971</v>
      </c>
      <c r="AI61" s="4"/>
      <c r="AJ61" s="3" t="s">
        <v>971</v>
      </c>
      <c r="AK61" s="4"/>
      <c r="AL61" s="3" t="s">
        <v>4417</v>
      </c>
      <c r="AM61" s="3" t="s">
        <v>4418</v>
      </c>
      <c r="AN61" s="3" t="s">
        <v>4419</v>
      </c>
      <c r="AO61" s="3" t="s">
        <v>4420</v>
      </c>
      <c r="AP61" s="3" t="s">
        <v>4421</v>
      </c>
      <c r="AQ61" s="3" t="s">
        <v>4422</v>
      </c>
      <c r="AR61" s="3" t="s">
        <v>4423</v>
      </c>
      <c r="AS61" s="3" t="s">
        <v>969</v>
      </c>
      <c r="AT61" s="3" t="s">
        <v>969</v>
      </c>
      <c r="AU61" s="3" t="s">
        <v>981</v>
      </c>
      <c r="AV61" s="3" t="s">
        <v>4424</v>
      </c>
      <c r="AW61" s="3" t="s">
        <v>1397</v>
      </c>
      <c r="AX61" s="3" t="s">
        <v>969</v>
      </c>
      <c r="AY61" s="27">
        <v>15.99</v>
      </c>
    </row>
    <row r="62" ht="15.75" customHeight="1">
      <c r="A62" s="45">
        <v>61.0</v>
      </c>
      <c r="B62" s="24">
        <v>76.0</v>
      </c>
      <c r="C62" s="5" t="s">
        <v>1</v>
      </c>
      <c r="D62" s="3" t="s">
        <v>953</v>
      </c>
      <c r="E62" s="25">
        <v>46200.01458333333</v>
      </c>
      <c r="F62" s="3" t="s">
        <v>4425</v>
      </c>
      <c r="G62" s="3" t="s">
        <v>4426</v>
      </c>
      <c r="H62" s="3" t="s">
        <v>4427</v>
      </c>
      <c r="I62" s="3" t="s">
        <v>4428</v>
      </c>
      <c r="J62" s="3" t="s">
        <v>4429</v>
      </c>
      <c r="K62" s="3" t="s">
        <v>1653</v>
      </c>
      <c r="L62" s="3" t="s">
        <v>4430</v>
      </c>
      <c r="M62" s="26">
        <v>32715.0</v>
      </c>
      <c r="N62" s="3" t="s">
        <v>4431</v>
      </c>
      <c r="O62" s="3" t="s">
        <v>4432</v>
      </c>
      <c r="P62" s="3" t="s">
        <v>4433</v>
      </c>
      <c r="Q62" s="4"/>
      <c r="R62" s="4"/>
      <c r="S62" s="3" t="s">
        <v>4434</v>
      </c>
      <c r="T62" s="3" t="s">
        <v>4435</v>
      </c>
      <c r="U62" s="3" t="s">
        <v>1050</v>
      </c>
      <c r="V62" s="3" t="s">
        <v>4436</v>
      </c>
      <c r="W62" s="3" t="s">
        <v>4437</v>
      </c>
      <c r="X62" s="3" t="s">
        <v>4438</v>
      </c>
      <c r="Y62" s="3" t="s">
        <v>971</v>
      </c>
      <c r="Z62" s="3" t="s">
        <v>1979</v>
      </c>
      <c r="AA62" s="3" t="s">
        <v>971</v>
      </c>
      <c r="AB62" s="4"/>
      <c r="AC62" s="4"/>
      <c r="AD62" s="3" t="s">
        <v>966</v>
      </c>
      <c r="AE62" s="4"/>
      <c r="AF62" s="4"/>
      <c r="AG62" s="4"/>
      <c r="AH62" s="3" t="s">
        <v>969</v>
      </c>
      <c r="AI62" s="3" t="s">
        <v>4439</v>
      </c>
      <c r="AJ62" s="3" t="s">
        <v>966</v>
      </c>
      <c r="AK62" s="4"/>
      <c r="AL62" s="3" t="s">
        <v>4437</v>
      </c>
      <c r="AM62" s="3" t="s">
        <v>4440</v>
      </c>
      <c r="AN62" s="3" t="s">
        <v>4441</v>
      </c>
      <c r="AO62" s="3" t="s">
        <v>4442</v>
      </c>
      <c r="AP62" s="3" t="s">
        <v>4443</v>
      </c>
      <c r="AQ62" s="3" t="s">
        <v>4444</v>
      </c>
      <c r="AR62" s="3" t="s">
        <v>4445</v>
      </c>
      <c r="AS62" s="3" t="s">
        <v>969</v>
      </c>
      <c r="AT62" s="3" t="s">
        <v>969</v>
      </c>
      <c r="AU62" s="3" t="s">
        <v>1233</v>
      </c>
      <c r="AV62" s="3" t="s">
        <v>3036</v>
      </c>
      <c r="AW62" s="3" t="s">
        <v>4446</v>
      </c>
      <c r="AX62" s="3" t="s">
        <v>969</v>
      </c>
      <c r="AY62" s="27">
        <v>15.99</v>
      </c>
    </row>
    <row r="63" ht="15.75" customHeight="1">
      <c r="A63" s="45">
        <v>62.0</v>
      </c>
      <c r="B63" s="24">
        <v>74.0</v>
      </c>
      <c r="C63" s="5" t="s">
        <v>1</v>
      </c>
      <c r="D63" s="3" t="s">
        <v>953</v>
      </c>
      <c r="E63" s="25">
        <v>46199.75902777778</v>
      </c>
      <c r="F63" s="3" t="s">
        <v>4447</v>
      </c>
      <c r="G63" s="3" t="s">
        <v>4448</v>
      </c>
      <c r="H63" s="3" t="s">
        <v>4449</v>
      </c>
      <c r="I63" s="3" t="s">
        <v>4450</v>
      </c>
      <c r="J63" s="4"/>
      <c r="K63" s="3" t="s">
        <v>4451</v>
      </c>
      <c r="L63" s="3" t="s">
        <v>4452</v>
      </c>
      <c r="M63" s="26">
        <v>33513.0</v>
      </c>
      <c r="N63" s="3" t="s">
        <v>4453</v>
      </c>
      <c r="O63" s="3" t="s">
        <v>4454</v>
      </c>
      <c r="P63" s="4"/>
      <c r="Q63" s="4"/>
      <c r="R63" s="4"/>
      <c r="S63" s="3" t="s">
        <v>4455</v>
      </c>
      <c r="T63" s="3" t="s">
        <v>4456</v>
      </c>
      <c r="U63" s="3" t="s">
        <v>1662</v>
      </c>
      <c r="V63" s="3" t="s">
        <v>4457</v>
      </c>
      <c r="W63" s="3" t="s">
        <v>4458</v>
      </c>
      <c r="X63" s="3" t="s">
        <v>4459</v>
      </c>
      <c r="Y63" s="3" t="s">
        <v>969</v>
      </c>
      <c r="Z63" s="3" t="s">
        <v>4460</v>
      </c>
      <c r="AA63" s="3" t="s">
        <v>969</v>
      </c>
      <c r="AB63" s="3" t="s">
        <v>4461</v>
      </c>
      <c r="AC63" s="3" t="s">
        <v>4462</v>
      </c>
      <c r="AD63" s="3" t="s">
        <v>4463</v>
      </c>
      <c r="AE63" s="4"/>
      <c r="AF63" s="3" t="s">
        <v>2879</v>
      </c>
      <c r="AG63" s="4"/>
      <c r="AH63" s="3" t="s">
        <v>969</v>
      </c>
      <c r="AI63" s="3" t="s">
        <v>4464</v>
      </c>
      <c r="AJ63" s="3" t="s">
        <v>2733</v>
      </c>
      <c r="AK63" s="4"/>
      <c r="AL63" s="3" t="s">
        <v>4465</v>
      </c>
      <c r="AM63" s="3" t="s">
        <v>4466</v>
      </c>
      <c r="AN63" s="3" t="s">
        <v>4467</v>
      </c>
      <c r="AO63" s="3" t="s">
        <v>4468</v>
      </c>
      <c r="AP63" s="3" t="s">
        <v>4469</v>
      </c>
      <c r="AQ63" s="3" t="s">
        <v>4470</v>
      </c>
      <c r="AR63" s="3" t="s">
        <v>4471</v>
      </c>
      <c r="AS63" s="3" t="s">
        <v>969</v>
      </c>
      <c r="AT63" s="3" t="s">
        <v>969</v>
      </c>
      <c r="AU63" s="3" t="s">
        <v>1039</v>
      </c>
      <c r="AV63" s="3" t="s">
        <v>982</v>
      </c>
      <c r="AW63" s="3" t="s">
        <v>4472</v>
      </c>
      <c r="AX63" s="3" t="s">
        <v>969</v>
      </c>
      <c r="AY63" s="27">
        <v>15.99</v>
      </c>
    </row>
    <row r="64" ht="15.75" customHeight="1">
      <c r="A64" s="45">
        <v>63.0</v>
      </c>
      <c r="B64" s="24">
        <v>68.0</v>
      </c>
      <c r="C64" s="5" t="s">
        <v>1</v>
      </c>
      <c r="D64" s="3" t="s">
        <v>953</v>
      </c>
      <c r="E64" s="25">
        <v>46197.59583333333</v>
      </c>
      <c r="F64" s="3" t="s">
        <v>4473</v>
      </c>
      <c r="G64" s="3" t="s">
        <v>4474</v>
      </c>
      <c r="H64" s="3" t="s">
        <v>4475</v>
      </c>
      <c r="I64" s="3" t="s">
        <v>4476</v>
      </c>
      <c r="J64" s="3" t="s">
        <v>4477</v>
      </c>
      <c r="K64" s="3" t="s">
        <v>2348</v>
      </c>
      <c r="L64" s="3" t="s">
        <v>4478</v>
      </c>
      <c r="M64" s="26">
        <v>35752.0</v>
      </c>
      <c r="N64" s="3" t="s">
        <v>4479</v>
      </c>
      <c r="O64" s="3" t="s">
        <v>4480</v>
      </c>
      <c r="P64" s="4"/>
      <c r="Q64" s="4"/>
      <c r="R64" s="4"/>
      <c r="S64" s="3" t="s">
        <v>4481</v>
      </c>
      <c r="T64" s="3" t="s">
        <v>4482</v>
      </c>
      <c r="U64" s="3" t="s">
        <v>3472</v>
      </c>
      <c r="V64" s="3" t="s">
        <v>1396</v>
      </c>
      <c r="W64" s="3" t="s">
        <v>4483</v>
      </c>
      <c r="X64" s="3" t="s">
        <v>4484</v>
      </c>
      <c r="Y64" s="3" t="s">
        <v>969</v>
      </c>
      <c r="Z64" s="3" t="s">
        <v>2332</v>
      </c>
      <c r="AA64" s="3" t="s">
        <v>971</v>
      </c>
      <c r="AB64" s="4"/>
      <c r="AC64" s="4"/>
      <c r="AD64" s="3" t="s">
        <v>4485</v>
      </c>
      <c r="AE64" s="3" t="s">
        <v>4486</v>
      </c>
      <c r="AF64" s="3" t="s">
        <v>4487</v>
      </c>
      <c r="AG64" s="3" t="s">
        <v>1002</v>
      </c>
      <c r="AH64" s="3" t="s">
        <v>971</v>
      </c>
      <c r="AI64" s="4"/>
      <c r="AJ64" s="3" t="s">
        <v>4488</v>
      </c>
      <c r="AK64" s="3" t="s">
        <v>4489</v>
      </c>
      <c r="AL64" s="3" t="s">
        <v>4490</v>
      </c>
      <c r="AM64" s="3" t="s">
        <v>4491</v>
      </c>
      <c r="AN64" s="3" t="s">
        <v>4492</v>
      </c>
      <c r="AO64" s="3" t="s">
        <v>4493</v>
      </c>
      <c r="AP64" s="3" t="s">
        <v>4494</v>
      </c>
      <c r="AQ64" s="3" t="s">
        <v>4495</v>
      </c>
      <c r="AR64" s="3" t="s">
        <v>4496</v>
      </c>
      <c r="AS64" s="3" t="s">
        <v>969</v>
      </c>
      <c r="AT64" s="3" t="s">
        <v>969</v>
      </c>
      <c r="AU64" s="3" t="s">
        <v>1233</v>
      </c>
      <c r="AV64" s="3" t="s">
        <v>4497</v>
      </c>
      <c r="AW64" s="4"/>
      <c r="AX64" s="3" t="s">
        <v>969</v>
      </c>
      <c r="AY64" s="27">
        <v>15.99</v>
      </c>
    </row>
    <row r="65" ht="15.75" customHeight="1">
      <c r="A65" s="45">
        <v>64.0</v>
      </c>
      <c r="B65" s="24">
        <v>67.0</v>
      </c>
      <c r="C65" s="5" t="s">
        <v>1</v>
      </c>
      <c r="D65" s="3" t="s">
        <v>953</v>
      </c>
      <c r="E65" s="25">
        <v>46197.37777777778</v>
      </c>
      <c r="F65" s="3" t="s">
        <v>4498</v>
      </c>
      <c r="G65" s="3" t="s">
        <v>4498</v>
      </c>
      <c r="H65" s="3" t="s">
        <v>4499</v>
      </c>
      <c r="I65" s="3" t="s">
        <v>4500</v>
      </c>
      <c r="J65" s="3" t="s">
        <v>4501</v>
      </c>
      <c r="K65" s="3" t="s">
        <v>1026</v>
      </c>
      <c r="L65" s="3" t="s">
        <v>4502</v>
      </c>
      <c r="M65" s="26">
        <v>37685.0</v>
      </c>
      <c r="N65" s="3" t="s">
        <v>4503</v>
      </c>
      <c r="O65" s="3" t="s">
        <v>4504</v>
      </c>
      <c r="P65" s="4"/>
      <c r="Q65" s="3" t="s">
        <v>4505</v>
      </c>
      <c r="R65" s="4"/>
      <c r="S65" s="3" t="s">
        <v>4506</v>
      </c>
      <c r="T65" s="3" t="s">
        <v>4507</v>
      </c>
      <c r="U65" s="3" t="s">
        <v>1271</v>
      </c>
      <c r="V65" s="3" t="s">
        <v>4508</v>
      </c>
      <c r="W65" s="4"/>
      <c r="X65" s="3" t="s">
        <v>4509</v>
      </c>
      <c r="Y65" s="3" t="s">
        <v>971</v>
      </c>
      <c r="Z65" s="3" t="s">
        <v>1026</v>
      </c>
      <c r="AA65" s="3" t="s">
        <v>971</v>
      </c>
      <c r="AB65" s="4"/>
      <c r="AC65" s="4"/>
      <c r="AD65" s="3" t="s">
        <v>4510</v>
      </c>
      <c r="AE65" s="4"/>
      <c r="AF65" s="4"/>
      <c r="AG65" s="4"/>
      <c r="AH65" s="3" t="s">
        <v>971</v>
      </c>
      <c r="AI65" s="4"/>
      <c r="AJ65" s="4"/>
      <c r="AK65" s="4"/>
      <c r="AL65" s="3" t="s">
        <v>4511</v>
      </c>
      <c r="AM65" s="3" t="s">
        <v>4512</v>
      </c>
      <c r="AN65" s="3" t="s">
        <v>4513</v>
      </c>
      <c r="AO65" s="3" t="s">
        <v>4514</v>
      </c>
      <c r="AP65" s="3" t="s">
        <v>4515</v>
      </c>
      <c r="AQ65" s="3" t="s">
        <v>4516</v>
      </c>
      <c r="AR65" s="3" t="s">
        <v>4517</v>
      </c>
      <c r="AS65" s="3" t="s">
        <v>969</v>
      </c>
      <c r="AT65" s="3" t="s">
        <v>969</v>
      </c>
      <c r="AU65" s="3" t="s">
        <v>1039</v>
      </c>
      <c r="AV65" s="3" t="s">
        <v>2049</v>
      </c>
      <c r="AW65" s="4"/>
      <c r="AX65" s="3" t="s">
        <v>969</v>
      </c>
      <c r="AY65" s="27">
        <v>15.99</v>
      </c>
    </row>
    <row r="66" ht="15.75" customHeight="1">
      <c r="A66" s="45">
        <v>65.0</v>
      </c>
      <c r="B66" s="24">
        <v>64.0</v>
      </c>
      <c r="C66" s="5" t="s">
        <v>1</v>
      </c>
      <c r="D66" s="3" t="s">
        <v>953</v>
      </c>
      <c r="E66" s="25">
        <v>46196.57847222222</v>
      </c>
      <c r="F66" s="3" t="s">
        <v>4518</v>
      </c>
      <c r="G66" s="3" t="s">
        <v>4518</v>
      </c>
      <c r="H66" s="3" t="s">
        <v>4519</v>
      </c>
      <c r="I66" s="3" t="s">
        <v>4520</v>
      </c>
      <c r="J66" s="3" t="s">
        <v>4521</v>
      </c>
      <c r="K66" s="3" t="s">
        <v>1015</v>
      </c>
      <c r="L66" s="3" t="s">
        <v>4522</v>
      </c>
      <c r="M66" s="26">
        <v>38633.0</v>
      </c>
      <c r="N66" s="3" t="s">
        <v>4523</v>
      </c>
      <c r="O66" s="3" t="s">
        <v>4524</v>
      </c>
      <c r="P66" s="3" t="s">
        <v>4525</v>
      </c>
      <c r="Q66" s="3" t="s">
        <v>4526</v>
      </c>
      <c r="R66" s="3" t="s">
        <v>4527</v>
      </c>
      <c r="S66" s="3" t="s">
        <v>4528</v>
      </c>
      <c r="T66" s="3" t="s">
        <v>4529</v>
      </c>
      <c r="U66" s="3" t="s">
        <v>1124</v>
      </c>
      <c r="V66" s="3" t="s">
        <v>4530</v>
      </c>
      <c r="W66" s="3" t="s">
        <v>4531</v>
      </c>
      <c r="X66" s="3" t="s">
        <v>4532</v>
      </c>
      <c r="Y66" s="3" t="s">
        <v>969</v>
      </c>
      <c r="Z66" s="3" t="s">
        <v>1026</v>
      </c>
      <c r="AA66" s="3" t="s">
        <v>971</v>
      </c>
      <c r="AB66" s="3" t="s">
        <v>971</v>
      </c>
      <c r="AC66" s="3" t="s">
        <v>971</v>
      </c>
      <c r="AD66" s="3" t="s">
        <v>4533</v>
      </c>
      <c r="AE66" s="3" t="s">
        <v>4534</v>
      </c>
      <c r="AF66" s="3" t="s">
        <v>4535</v>
      </c>
      <c r="AG66" s="3" t="s">
        <v>1133</v>
      </c>
      <c r="AH66" s="3" t="s">
        <v>971</v>
      </c>
      <c r="AI66" s="3" t="s">
        <v>4536</v>
      </c>
      <c r="AJ66" s="3" t="s">
        <v>971</v>
      </c>
      <c r="AK66" s="4"/>
      <c r="AL66" s="3" t="s">
        <v>4537</v>
      </c>
      <c r="AM66" s="3" t="s">
        <v>4538</v>
      </c>
      <c r="AN66" s="3" t="s">
        <v>4539</v>
      </c>
      <c r="AO66" s="3" t="s">
        <v>4540</v>
      </c>
      <c r="AP66" s="3" t="s">
        <v>4541</v>
      </c>
      <c r="AQ66" s="3" t="s">
        <v>4542</v>
      </c>
      <c r="AR66" s="3" t="s">
        <v>4543</v>
      </c>
      <c r="AS66" s="3" t="s">
        <v>969</v>
      </c>
      <c r="AT66" s="3" t="s">
        <v>969</v>
      </c>
      <c r="AU66" s="3" t="s">
        <v>1233</v>
      </c>
      <c r="AV66" s="3" t="s">
        <v>4544</v>
      </c>
      <c r="AW66" s="3" t="s">
        <v>4545</v>
      </c>
      <c r="AX66" s="3" t="s">
        <v>969</v>
      </c>
      <c r="AY66" s="27">
        <v>15.99</v>
      </c>
    </row>
    <row r="67" ht="15.75" customHeight="1">
      <c r="A67" s="45">
        <v>66.0</v>
      </c>
      <c r="B67" s="24">
        <v>54.0</v>
      </c>
      <c r="C67" s="5" t="s">
        <v>1</v>
      </c>
      <c r="D67" s="3" t="s">
        <v>953</v>
      </c>
      <c r="E67" s="25">
        <v>46192.79097222222</v>
      </c>
      <c r="F67" s="3" t="s">
        <v>4546</v>
      </c>
      <c r="G67" s="3" t="s">
        <v>4546</v>
      </c>
      <c r="H67" s="3" t="s">
        <v>827</v>
      </c>
      <c r="I67" s="3" t="s">
        <v>827</v>
      </c>
      <c r="J67" s="3" t="s">
        <v>4547</v>
      </c>
      <c r="K67" s="3" t="s">
        <v>189</v>
      </c>
      <c r="L67" s="3" t="s">
        <v>4548</v>
      </c>
      <c r="M67" s="26">
        <v>36538.0</v>
      </c>
      <c r="N67" s="3" t="s">
        <v>4549</v>
      </c>
      <c r="O67" s="3" t="s">
        <v>4548</v>
      </c>
      <c r="P67" s="4"/>
      <c r="Q67" s="4"/>
      <c r="R67" s="4"/>
      <c r="S67" s="3" t="s">
        <v>4550</v>
      </c>
      <c r="T67" s="3" t="s">
        <v>4551</v>
      </c>
      <c r="U67" s="3" t="s">
        <v>1124</v>
      </c>
      <c r="V67" s="3" t="s">
        <v>4552</v>
      </c>
      <c r="W67" s="3" t="s">
        <v>4553</v>
      </c>
      <c r="X67" s="3" t="s">
        <v>4554</v>
      </c>
      <c r="Y67" s="3" t="s">
        <v>971</v>
      </c>
      <c r="Z67" s="3" t="s">
        <v>1128</v>
      </c>
      <c r="AA67" s="3" t="s">
        <v>971</v>
      </c>
      <c r="AB67" s="4"/>
      <c r="AC67" s="3" t="s">
        <v>4555</v>
      </c>
      <c r="AD67" s="3" t="s">
        <v>4556</v>
      </c>
      <c r="AE67" s="3" t="s">
        <v>4557</v>
      </c>
      <c r="AF67" s="3" t="s">
        <v>4558</v>
      </c>
      <c r="AG67" s="3" t="s">
        <v>1030</v>
      </c>
      <c r="AH67" s="3" t="s">
        <v>971</v>
      </c>
      <c r="AI67" s="4"/>
      <c r="AJ67" s="3" t="s">
        <v>971</v>
      </c>
      <c r="AK67" s="4"/>
      <c r="AL67" s="3" t="s">
        <v>4115</v>
      </c>
      <c r="AM67" s="3" t="s">
        <v>4559</v>
      </c>
      <c r="AN67" s="3" t="s">
        <v>4560</v>
      </c>
      <c r="AO67" s="3" t="s">
        <v>4561</v>
      </c>
      <c r="AP67" s="3" t="s">
        <v>4562</v>
      </c>
      <c r="AQ67" s="3" t="s">
        <v>4563</v>
      </c>
      <c r="AR67" s="3" t="s">
        <v>4564</v>
      </c>
      <c r="AS67" s="3" t="s">
        <v>969</v>
      </c>
      <c r="AT67" s="3" t="s">
        <v>969</v>
      </c>
      <c r="AU67" s="3" t="s">
        <v>1039</v>
      </c>
      <c r="AV67" s="3" t="s">
        <v>1287</v>
      </c>
      <c r="AW67" s="4"/>
      <c r="AX67" s="3" t="s">
        <v>969</v>
      </c>
      <c r="AY67" s="27">
        <v>15.99</v>
      </c>
      <c r="BA67" s="5" t="s">
        <v>14</v>
      </c>
    </row>
    <row r="68" ht="15.75" customHeight="1">
      <c r="A68" s="45">
        <v>67.0</v>
      </c>
      <c r="B68" s="24">
        <v>51.0</v>
      </c>
      <c r="C68" s="5" t="s">
        <v>1</v>
      </c>
      <c r="D68" s="3" t="s">
        <v>953</v>
      </c>
      <c r="E68" s="25">
        <v>46191.97291666667</v>
      </c>
      <c r="F68" s="3" t="s">
        <v>4565</v>
      </c>
      <c r="G68" s="3" t="s">
        <v>4565</v>
      </c>
      <c r="H68" s="3" t="s">
        <v>4566</v>
      </c>
      <c r="I68" s="3" t="s">
        <v>4567</v>
      </c>
      <c r="J68" s="3" t="s">
        <v>4568</v>
      </c>
      <c r="K68" s="3" t="s">
        <v>2919</v>
      </c>
      <c r="L68" s="3" t="s">
        <v>4569</v>
      </c>
      <c r="M68" s="26">
        <v>38598.0</v>
      </c>
      <c r="N68" s="3" t="s">
        <v>4570</v>
      </c>
      <c r="O68" s="3" t="s">
        <v>4571</v>
      </c>
      <c r="P68" s="3" t="s">
        <v>4572</v>
      </c>
      <c r="Q68" s="3" t="s">
        <v>4573</v>
      </c>
      <c r="R68" s="3" t="s">
        <v>4574</v>
      </c>
      <c r="S68" s="3" t="s">
        <v>4575</v>
      </c>
      <c r="T68" s="3" t="s">
        <v>4576</v>
      </c>
      <c r="U68" s="3" t="s">
        <v>1124</v>
      </c>
      <c r="V68" s="3" t="s">
        <v>1397</v>
      </c>
      <c r="W68" s="3" t="s">
        <v>4577</v>
      </c>
      <c r="X68" s="3" t="s">
        <v>4578</v>
      </c>
      <c r="Y68" s="3" t="s">
        <v>969</v>
      </c>
      <c r="Z68" s="3" t="s">
        <v>997</v>
      </c>
      <c r="AA68" s="3" t="s">
        <v>971</v>
      </c>
      <c r="AB68" s="4"/>
      <c r="AC68" s="3" t="s">
        <v>4579</v>
      </c>
      <c r="AD68" s="3" t="s">
        <v>4580</v>
      </c>
      <c r="AE68" s="3" t="s">
        <v>4581</v>
      </c>
      <c r="AF68" s="3" t="s">
        <v>4582</v>
      </c>
      <c r="AG68" s="3" t="s">
        <v>3341</v>
      </c>
      <c r="AH68" s="3" t="s">
        <v>971</v>
      </c>
      <c r="AI68" s="4"/>
      <c r="AJ68" s="4"/>
      <c r="AK68" s="4"/>
      <c r="AL68" s="3" t="s">
        <v>4583</v>
      </c>
      <c r="AM68" s="3" t="s">
        <v>4584</v>
      </c>
      <c r="AN68" s="3" t="s">
        <v>4585</v>
      </c>
      <c r="AO68" s="3" t="s">
        <v>4586</v>
      </c>
      <c r="AP68" s="3" t="s">
        <v>4587</v>
      </c>
      <c r="AQ68" s="3" t="s">
        <v>4588</v>
      </c>
      <c r="AR68" s="3" t="s">
        <v>4589</v>
      </c>
      <c r="AS68" s="3" t="s">
        <v>969</v>
      </c>
      <c r="AT68" s="3" t="s">
        <v>969</v>
      </c>
      <c r="AU68" s="3" t="s">
        <v>1039</v>
      </c>
      <c r="AV68" s="3" t="s">
        <v>1261</v>
      </c>
      <c r="AW68" s="3" t="s">
        <v>3082</v>
      </c>
      <c r="AX68" s="3" t="s">
        <v>969</v>
      </c>
      <c r="AY68" s="27">
        <v>15.99</v>
      </c>
    </row>
    <row r="69" ht="15.75" customHeight="1">
      <c r="A69" s="45">
        <v>68.0</v>
      </c>
      <c r="B69" s="24">
        <v>48.0</v>
      </c>
      <c r="C69" s="5" t="s">
        <v>1</v>
      </c>
      <c r="D69" s="3" t="s">
        <v>953</v>
      </c>
      <c r="E69" s="25">
        <v>46190.7</v>
      </c>
      <c r="F69" s="3" t="s">
        <v>4590</v>
      </c>
      <c r="G69" s="3" t="s">
        <v>4590</v>
      </c>
      <c r="H69" s="3" t="s">
        <v>4591</v>
      </c>
      <c r="I69" s="3" t="s">
        <v>4591</v>
      </c>
      <c r="J69" s="3" t="s">
        <v>4592</v>
      </c>
      <c r="K69" s="3" t="s">
        <v>1015</v>
      </c>
      <c r="L69" s="3" t="s">
        <v>4593</v>
      </c>
      <c r="M69" s="26">
        <v>34203.0</v>
      </c>
      <c r="N69" s="3" t="s">
        <v>4594</v>
      </c>
      <c r="O69" s="3" t="s">
        <v>4593</v>
      </c>
      <c r="P69" s="3" t="s">
        <v>4595</v>
      </c>
      <c r="Q69" s="4"/>
      <c r="R69" s="4"/>
      <c r="S69" s="3" t="s">
        <v>4596</v>
      </c>
      <c r="T69" s="3" t="s">
        <v>4597</v>
      </c>
      <c r="U69" s="3" t="s">
        <v>4598</v>
      </c>
      <c r="V69" s="3" t="s">
        <v>4599</v>
      </c>
      <c r="W69" s="3" t="s">
        <v>4600</v>
      </c>
      <c r="X69" s="3" t="s">
        <v>4601</v>
      </c>
      <c r="Y69" s="3" t="s">
        <v>969</v>
      </c>
      <c r="Z69" s="3" t="s">
        <v>1026</v>
      </c>
      <c r="AA69" s="3" t="s">
        <v>971</v>
      </c>
      <c r="AB69" s="4"/>
      <c r="AC69" s="4"/>
      <c r="AD69" s="3" t="s">
        <v>2733</v>
      </c>
      <c r="AE69" s="4"/>
      <c r="AF69" s="4"/>
      <c r="AG69" s="4"/>
      <c r="AH69" s="3" t="s">
        <v>971</v>
      </c>
      <c r="AI69" s="4"/>
      <c r="AJ69" s="4"/>
      <c r="AK69" s="4"/>
      <c r="AL69" s="3" t="s">
        <v>4602</v>
      </c>
      <c r="AM69" s="3" t="s">
        <v>4603</v>
      </c>
      <c r="AN69" s="3" t="s">
        <v>4604</v>
      </c>
      <c r="AO69" s="3" t="s">
        <v>4605</v>
      </c>
      <c r="AP69" s="3" t="s">
        <v>4606</v>
      </c>
      <c r="AQ69" s="3" t="s">
        <v>4607</v>
      </c>
      <c r="AR69" s="3" t="s">
        <v>4608</v>
      </c>
      <c r="AS69" s="3" t="s">
        <v>969</v>
      </c>
      <c r="AT69" s="3" t="s">
        <v>969</v>
      </c>
      <c r="AU69" s="3" t="s">
        <v>1260</v>
      </c>
      <c r="AV69" s="3" t="s">
        <v>4609</v>
      </c>
      <c r="AW69" s="3" t="s">
        <v>4610</v>
      </c>
      <c r="AX69" s="3" t="s">
        <v>969</v>
      </c>
      <c r="AY69" s="27">
        <v>15.99</v>
      </c>
    </row>
    <row r="70" ht="15.75" customHeight="1">
      <c r="A70" s="45">
        <v>69.0</v>
      </c>
      <c r="B70" s="24">
        <v>42.0</v>
      </c>
      <c r="C70" s="5" t="s">
        <v>1</v>
      </c>
      <c r="D70" s="3" t="s">
        <v>953</v>
      </c>
      <c r="E70" s="25">
        <v>46189.62847222222</v>
      </c>
      <c r="F70" s="3" t="s">
        <v>4611</v>
      </c>
      <c r="G70" s="3" t="s">
        <v>4612</v>
      </c>
      <c r="H70" s="3" t="s">
        <v>4613</v>
      </c>
      <c r="I70" s="3" t="s">
        <v>4614</v>
      </c>
      <c r="J70" s="3" t="s">
        <v>4615</v>
      </c>
      <c r="K70" s="3" t="s">
        <v>2919</v>
      </c>
      <c r="L70" s="3" t="s">
        <v>4616</v>
      </c>
      <c r="M70" s="26">
        <v>38869.0</v>
      </c>
      <c r="N70" s="3" t="s">
        <v>4617</v>
      </c>
      <c r="O70" s="3" t="s">
        <v>4618</v>
      </c>
      <c r="P70" s="3" t="s">
        <v>4619</v>
      </c>
      <c r="Q70" s="3" t="s">
        <v>4620</v>
      </c>
      <c r="R70" s="3" t="s">
        <v>4621</v>
      </c>
      <c r="S70" s="3" t="s">
        <v>4622</v>
      </c>
      <c r="T70" s="3" t="s">
        <v>4623</v>
      </c>
      <c r="U70" s="3" t="s">
        <v>1050</v>
      </c>
      <c r="V70" s="3" t="s">
        <v>4624</v>
      </c>
      <c r="W70" s="3" t="s">
        <v>4625</v>
      </c>
      <c r="X70" s="3" t="s">
        <v>4626</v>
      </c>
      <c r="Y70" s="3" t="s">
        <v>969</v>
      </c>
      <c r="Z70" s="3" t="s">
        <v>4627</v>
      </c>
      <c r="AA70" s="3" t="s">
        <v>971</v>
      </c>
      <c r="AB70" s="4"/>
      <c r="AC70" s="3" t="s">
        <v>4628</v>
      </c>
      <c r="AD70" s="3" t="s">
        <v>4629</v>
      </c>
      <c r="AE70" s="4"/>
      <c r="AF70" s="3" t="s">
        <v>1250</v>
      </c>
      <c r="AG70" s="4"/>
      <c r="AH70" s="3" t="s">
        <v>969</v>
      </c>
      <c r="AI70" s="3" t="s">
        <v>4630</v>
      </c>
      <c r="AJ70" s="4"/>
      <c r="AK70" s="4"/>
      <c r="AL70" s="3" t="s">
        <v>4631</v>
      </c>
      <c r="AM70" s="3" t="s">
        <v>4632</v>
      </c>
      <c r="AN70" s="3" t="s">
        <v>4633</v>
      </c>
      <c r="AO70" s="3" t="s">
        <v>4634</v>
      </c>
      <c r="AP70" s="3" t="s">
        <v>4635</v>
      </c>
      <c r="AQ70" s="3" t="s">
        <v>4636</v>
      </c>
      <c r="AR70" s="3" t="s">
        <v>4637</v>
      </c>
      <c r="AS70" s="3" t="s">
        <v>969</v>
      </c>
      <c r="AT70" s="3" t="s">
        <v>969</v>
      </c>
      <c r="AU70" s="3" t="s">
        <v>1233</v>
      </c>
      <c r="AV70" s="3" t="s">
        <v>2939</v>
      </c>
      <c r="AW70" s="3" t="s">
        <v>2122</v>
      </c>
      <c r="AX70" s="3" t="s">
        <v>969</v>
      </c>
      <c r="AY70" s="27">
        <v>15.99</v>
      </c>
    </row>
    <row r="71" ht="15.75" customHeight="1">
      <c r="A71" s="45">
        <v>70.0</v>
      </c>
      <c r="B71" s="24">
        <v>41.0</v>
      </c>
      <c r="C71" s="5" t="s">
        <v>1</v>
      </c>
      <c r="D71" s="3" t="s">
        <v>953</v>
      </c>
      <c r="E71" s="25">
        <v>46189.35069444445</v>
      </c>
      <c r="F71" s="3" t="s">
        <v>4638</v>
      </c>
      <c r="G71" s="3" t="s">
        <v>4638</v>
      </c>
      <c r="H71" s="3" t="s">
        <v>4639</v>
      </c>
      <c r="I71" s="3" t="s">
        <v>4640</v>
      </c>
      <c r="J71" s="3" t="s">
        <v>4641</v>
      </c>
      <c r="K71" s="3" t="s">
        <v>2919</v>
      </c>
      <c r="L71" s="3" t="s">
        <v>4642</v>
      </c>
      <c r="M71" s="26">
        <v>39430.0</v>
      </c>
      <c r="N71" s="3" t="s">
        <v>4643</v>
      </c>
      <c r="O71" s="3" t="s">
        <v>4644</v>
      </c>
      <c r="P71" s="3" t="s">
        <v>4645</v>
      </c>
      <c r="Q71" s="4"/>
      <c r="R71" s="3" t="s">
        <v>4646</v>
      </c>
      <c r="S71" s="3" t="s">
        <v>4647</v>
      </c>
      <c r="T71" s="3" t="s">
        <v>4648</v>
      </c>
      <c r="U71" s="3" t="s">
        <v>4649</v>
      </c>
      <c r="V71" s="3" t="s">
        <v>4650</v>
      </c>
      <c r="W71" s="3" t="s">
        <v>4651</v>
      </c>
      <c r="X71" s="3" t="s">
        <v>4652</v>
      </c>
      <c r="Y71" s="3" t="s">
        <v>969</v>
      </c>
      <c r="Z71" s="3" t="s">
        <v>4653</v>
      </c>
      <c r="AA71" s="3" t="s">
        <v>971</v>
      </c>
      <c r="AB71" s="4"/>
      <c r="AC71" s="3" t="s">
        <v>4654</v>
      </c>
      <c r="AD71" s="3" t="s">
        <v>4655</v>
      </c>
      <c r="AE71" s="3" t="s">
        <v>4656</v>
      </c>
      <c r="AF71" s="3" t="s">
        <v>4657</v>
      </c>
      <c r="AG71" s="3" t="s">
        <v>1133</v>
      </c>
      <c r="AH71" s="3" t="s">
        <v>971</v>
      </c>
      <c r="AI71" s="4"/>
      <c r="AJ71" s="3" t="s">
        <v>971</v>
      </c>
      <c r="AK71" s="4"/>
      <c r="AL71" s="3" t="s">
        <v>4658</v>
      </c>
      <c r="AM71" s="3" t="s">
        <v>4659</v>
      </c>
      <c r="AN71" s="3" t="s">
        <v>4660</v>
      </c>
      <c r="AO71" s="3" t="s">
        <v>4661</v>
      </c>
      <c r="AP71" s="3" t="s">
        <v>4662</v>
      </c>
      <c r="AQ71" s="3" t="s">
        <v>4663</v>
      </c>
      <c r="AR71" s="3" t="s">
        <v>4664</v>
      </c>
      <c r="AS71" s="3" t="s">
        <v>969</v>
      </c>
      <c r="AT71" s="3" t="s">
        <v>969</v>
      </c>
      <c r="AU71" s="3" t="s">
        <v>1260</v>
      </c>
      <c r="AV71" s="3" t="s">
        <v>2217</v>
      </c>
      <c r="AW71" s="3" t="s">
        <v>4665</v>
      </c>
      <c r="AX71" s="3" t="s">
        <v>969</v>
      </c>
      <c r="AY71" s="27">
        <v>15.99</v>
      </c>
    </row>
    <row r="72" ht="15.75" customHeight="1">
      <c r="A72" s="45">
        <v>71.0</v>
      </c>
      <c r="B72" s="24">
        <v>38.0</v>
      </c>
      <c r="C72" s="5" t="s">
        <v>1</v>
      </c>
      <c r="D72" s="3" t="s">
        <v>953</v>
      </c>
      <c r="E72" s="25">
        <v>46188.46666666667</v>
      </c>
      <c r="F72" s="3" t="s">
        <v>4666</v>
      </c>
      <c r="G72" s="3" t="s">
        <v>4666</v>
      </c>
      <c r="H72" s="3" t="s">
        <v>4667</v>
      </c>
      <c r="I72" s="3" t="s">
        <v>4667</v>
      </c>
      <c r="J72" s="3" t="s">
        <v>4668</v>
      </c>
      <c r="K72" s="3" t="s">
        <v>3985</v>
      </c>
      <c r="L72" s="3" t="s">
        <v>4669</v>
      </c>
      <c r="M72" s="26">
        <v>38661.0</v>
      </c>
      <c r="N72" s="3" t="s">
        <v>4670</v>
      </c>
      <c r="O72" s="3" t="s">
        <v>4671</v>
      </c>
      <c r="P72" s="3" t="s">
        <v>1447</v>
      </c>
      <c r="Q72" s="3" t="s">
        <v>4672</v>
      </c>
      <c r="R72" s="3" t="s">
        <v>1447</v>
      </c>
      <c r="S72" s="3" t="s">
        <v>4673</v>
      </c>
      <c r="T72" s="3" t="s">
        <v>4674</v>
      </c>
      <c r="U72" s="3" t="s">
        <v>2381</v>
      </c>
      <c r="V72" s="3" t="s">
        <v>1746</v>
      </c>
      <c r="W72" s="3" t="s">
        <v>4675</v>
      </c>
      <c r="X72" s="3" t="s">
        <v>4676</v>
      </c>
      <c r="Y72" s="3" t="s">
        <v>969</v>
      </c>
      <c r="Z72" s="3" t="s">
        <v>2188</v>
      </c>
      <c r="AA72" s="3" t="s">
        <v>971</v>
      </c>
      <c r="AB72" s="4"/>
      <c r="AC72" s="3" t="s">
        <v>6</v>
      </c>
      <c r="AD72" s="3" t="s">
        <v>4677</v>
      </c>
      <c r="AE72" s="3" t="s">
        <v>4678</v>
      </c>
      <c r="AF72" s="3" t="s">
        <v>4679</v>
      </c>
      <c r="AG72" s="3" t="s">
        <v>1002</v>
      </c>
      <c r="AH72" s="3" t="s">
        <v>971</v>
      </c>
      <c r="AI72" s="4"/>
      <c r="AJ72" s="4"/>
      <c r="AK72" s="4"/>
      <c r="AL72" s="3" t="s">
        <v>4680</v>
      </c>
      <c r="AM72" s="3" t="s">
        <v>4681</v>
      </c>
      <c r="AN72" s="3" t="s">
        <v>4682</v>
      </c>
      <c r="AO72" s="3" t="s">
        <v>4683</v>
      </c>
      <c r="AP72" s="3" t="s">
        <v>4684</v>
      </c>
      <c r="AQ72" s="3" t="s">
        <v>4685</v>
      </c>
      <c r="AR72" s="3" t="s">
        <v>4686</v>
      </c>
      <c r="AS72" s="3" t="s">
        <v>969</v>
      </c>
      <c r="AT72" s="3" t="s">
        <v>969</v>
      </c>
      <c r="AU72" s="3" t="s">
        <v>1233</v>
      </c>
      <c r="AV72" s="3" t="s">
        <v>3152</v>
      </c>
      <c r="AW72" s="3" t="s">
        <v>4687</v>
      </c>
      <c r="AX72" s="3" t="s">
        <v>969</v>
      </c>
      <c r="AY72" s="27">
        <v>15.99</v>
      </c>
    </row>
    <row r="73" ht="15.75" customHeight="1">
      <c r="A73" s="45">
        <v>72.0</v>
      </c>
      <c r="B73" s="24">
        <v>37.0</v>
      </c>
      <c r="C73" s="5" t="s">
        <v>1</v>
      </c>
      <c r="D73" s="3" t="s">
        <v>953</v>
      </c>
      <c r="E73" s="25">
        <v>46187.76041666666</v>
      </c>
      <c r="F73" s="3" t="s">
        <v>4688</v>
      </c>
      <c r="G73" s="3" t="s">
        <v>4689</v>
      </c>
      <c r="H73" s="3" t="s">
        <v>4690</v>
      </c>
      <c r="I73" s="3" t="s">
        <v>4691</v>
      </c>
      <c r="J73" s="3" t="s">
        <v>4692</v>
      </c>
      <c r="K73" s="3" t="s">
        <v>1916</v>
      </c>
      <c r="L73" s="3" t="s">
        <v>4693</v>
      </c>
      <c r="M73" s="26">
        <v>37129.0</v>
      </c>
      <c r="N73" s="3" t="s">
        <v>4694</v>
      </c>
      <c r="O73" s="3" t="s">
        <v>4695</v>
      </c>
      <c r="P73" s="4"/>
      <c r="Q73" s="4"/>
      <c r="R73" s="4"/>
      <c r="S73" s="3" t="s">
        <v>4696</v>
      </c>
      <c r="T73" s="3" t="s">
        <v>4697</v>
      </c>
      <c r="U73" s="3" t="s">
        <v>1370</v>
      </c>
      <c r="V73" s="3" t="s">
        <v>1370</v>
      </c>
      <c r="W73" s="3" t="s">
        <v>4698</v>
      </c>
      <c r="X73" s="3" t="s">
        <v>4699</v>
      </c>
      <c r="Y73" s="3" t="s">
        <v>969</v>
      </c>
      <c r="Z73" s="3" t="s">
        <v>3050</v>
      </c>
      <c r="AA73" s="3" t="s">
        <v>971</v>
      </c>
      <c r="AB73" s="4"/>
      <c r="AC73" s="3" t="s">
        <v>969</v>
      </c>
      <c r="AD73" s="3" t="s">
        <v>971</v>
      </c>
      <c r="AE73" s="4"/>
      <c r="AF73" s="4"/>
      <c r="AG73" s="4"/>
      <c r="AH73" s="3" t="s">
        <v>971</v>
      </c>
      <c r="AI73" s="4"/>
      <c r="AJ73" s="4"/>
      <c r="AK73" s="4"/>
      <c r="AL73" s="4"/>
      <c r="AM73" s="3" t="s">
        <v>4700</v>
      </c>
      <c r="AN73" s="3" t="s">
        <v>4701</v>
      </c>
      <c r="AO73" s="3" t="s">
        <v>1537</v>
      </c>
      <c r="AP73" s="3" t="s">
        <v>4702</v>
      </c>
      <c r="AQ73" s="3" t="s">
        <v>4703</v>
      </c>
      <c r="AR73" s="3" t="s">
        <v>4704</v>
      </c>
      <c r="AS73" s="3" t="s">
        <v>969</v>
      </c>
      <c r="AT73" s="3" t="s">
        <v>969</v>
      </c>
      <c r="AU73" s="3" t="s">
        <v>1260</v>
      </c>
      <c r="AV73" s="3" t="s">
        <v>4705</v>
      </c>
      <c r="AW73" s="4"/>
      <c r="AX73" s="3" t="s">
        <v>969</v>
      </c>
      <c r="AY73" s="27">
        <v>15.99</v>
      </c>
    </row>
    <row r="74" ht="15.75" customHeight="1">
      <c r="A74" s="45">
        <v>73.0</v>
      </c>
      <c r="B74" s="24">
        <v>36.0</v>
      </c>
      <c r="C74" s="5" t="s">
        <v>1</v>
      </c>
      <c r="D74" s="3" t="s">
        <v>953</v>
      </c>
      <c r="E74" s="25">
        <v>46187.56666666667</v>
      </c>
      <c r="F74" s="3" t="s">
        <v>4706</v>
      </c>
      <c r="G74" s="3" t="s">
        <v>4707</v>
      </c>
      <c r="H74" s="3" t="s">
        <v>4708</v>
      </c>
      <c r="I74" s="3" t="s">
        <v>4708</v>
      </c>
      <c r="J74" s="3" t="s">
        <v>4709</v>
      </c>
      <c r="K74" s="3" t="s">
        <v>4710</v>
      </c>
      <c r="L74" s="3" t="s">
        <v>4711</v>
      </c>
      <c r="M74" s="26">
        <v>35262.0</v>
      </c>
      <c r="N74" s="3" t="s">
        <v>4712</v>
      </c>
      <c r="O74" s="3" t="s">
        <v>4708</v>
      </c>
      <c r="P74" s="4"/>
      <c r="Q74" s="4"/>
      <c r="R74" s="4"/>
      <c r="S74" s="3" t="s">
        <v>4713</v>
      </c>
      <c r="T74" s="3" t="s">
        <v>4714</v>
      </c>
      <c r="U74" s="3" t="s">
        <v>4715</v>
      </c>
      <c r="V74" s="3" t="s">
        <v>4716</v>
      </c>
      <c r="W74" s="3" t="s">
        <v>4717</v>
      </c>
      <c r="X74" s="3" t="s">
        <v>4718</v>
      </c>
      <c r="Y74" s="3" t="s">
        <v>969</v>
      </c>
      <c r="Z74" s="3" t="s">
        <v>4719</v>
      </c>
      <c r="AA74" s="3" t="s">
        <v>971</v>
      </c>
      <c r="AB74" s="4"/>
      <c r="AC74" s="3" t="s">
        <v>6</v>
      </c>
      <c r="AD74" s="3" t="s">
        <v>4720</v>
      </c>
      <c r="AE74" s="3" t="s">
        <v>4721</v>
      </c>
      <c r="AF74" s="3" t="s">
        <v>4722</v>
      </c>
      <c r="AG74" s="3" t="s">
        <v>1002</v>
      </c>
      <c r="AH74" s="3" t="s">
        <v>969</v>
      </c>
      <c r="AI74" s="3" t="s">
        <v>4723</v>
      </c>
      <c r="AJ74" s="3" t="s">
        <v>966</v>
      </c>
      <c r="AK74" s="4"/>
      <c r="AL74" s="3" t="s">
        <v>4724</v>
      </c>
      <c r="AM74" s="3" t="s">
        <v>4725</v>
      </c>
      <c r="AN74" s="3" t="s">
        <v>4726</v>
      </c>
      <c r="AO74" s="3" t="s">
        <v>4727</v>
      </c>
      <c r="AP74" s="3" t="s">
        <v>4728</v>
      </c>
      <c r="AQ74" s="3" t="s">
        <v>4729</v>
      </c>
      <c r="AR74" s="3" t="s">
        <v>4730</v>
      </c>
      <c r="AS74" s="3" t="s">
        <v>969</v>
      </c>
      <c r="AT74" s="3" t="s">
        <v>969</v>
      </c>
      <c r="AU74" s="3" t="s">
        <v>1409</v>
      </c>
      <c r="AV74" s="3" t="s">
        <v>4731</v>
      </c>
      <c r="AW74" s="3" t="s">
        <v>1409</v>
      </c>
      <c r="AX74" s="3" t="s">
        <v>969</v>
      </c>
      <c r="AY74" s="27">
        <v>15.99</v>
      </c>
    </row>
    <row r="75" ht="15.75" customHeight="1">
      <c r="A75" s="45">
        <v>74.0</v>
      </c>
      <c r="B75" s="24">
        <v>35.0</v>
      </c>
      <c r="C75" s="5" t="s">
        <v>1</v>
      </c>
      <c r="D75" s="3" t="s">
        <v>953</v>
      </c>
      <c r="E75" s="25">
        <v>46187.08611111111</v>
      </c>
      <c r="F75" s="3" t="s">
        <v>4732</v>
      </c>
      <c r="G75" s="3" t="s">
        <v>4732</v>
      </c>
      <c r="H75" s="3" t="s">
        <v>4733</v>
      </c>
      <c r="I75" s="3" t="s">
        <v>4734</v>
      </c>
      <c r="J75" s="3" t="s">
        <v>4735</v>
      </c>
      <c r="K75" s="3" t="s">
        <v>2919</v>
      </c>
      <c r="L75" s="3" t="s">
        <v>4736</v>
      </c>
      <c r="M75" s="26">
        <v>38993.0</v>
      </c>
      <c r="N75" s="3" t="s">
        <v>4737</v>
      </c>
      <c r="O75" s="3" t="s">
        <v>4738</v>
      </c>
      <c r="P75" s="4"/>
      <c r="Q75" s="4"/>
      <c r="R75" s="4"/>
      <c r="S75" s="3" t="s">
        <v>4739</v>
      </c>
      <c r="T75" s="3" t="s">
        <v>4740</v>
      </c>
      <c r="U75" s="3" t="s">
        <v>1050</v>
      </c>
      <c r="V75" s="3" t="s">
        <v>4741</v>
      </c>
      <c r="W75" s="3" t="s">
        <v>4742</v>
      </c>
      <c r="X75" s="3" t="s">
        <v>4743</v>
      </c>
      <c r="Y75" s="3" t="s">
        <v>969</v>
      </c>
      <c r="Z75" s="3" t="s">
        <v>4744</v>
      </c>
      <c r="AA75" s="3" t="s">
        <v>971</v>
      </c>
      <c r="AB75" s="4"/>
      <c r="AC75" s="3" t="s">
        <v>2308</v>
      </c>
      <c r="AD75" s="3" t="s">
        <v>971</v>
      </c>
      <c r="AE75" s="4"/>
      <c r="AF75" s="4"/>
      <c r="AG75" s="4"/>
      <c r="AH75" s="3" t="s">
        <v>971</v>
      </c>
      <c r="AI75" s="4"/>
      <c r="AJ75" s="4"/>
      <c r="AK75" s="4"/>
      <c r="AL75" s="4"/>
      <c r="AM75" s="3" t="s">
        <v>4745</v>
      </c>
      <c r="AN75" s="3" t="s">
        <v>4746</v>
      </c>
      <c r="AO75" s="3" t="s">
        <v>4747</v>
      </c>
      <c r="AP75" s="3" t="s">
        <v>4748</v>
      </c>
      <c r="AQ75" s="3" t="s">
        <v>4749</v>
      </c>
      <c r="AR75" s="3" t="s">
        <v>4750</v>
      </c>
      <c r="AS75" s="3" t="s">
        <v>969</v>
      </c>
      <c r="AT75" s="3" t="s">
        <v>969</v>
      </c>
      <c r="AU75" s="3" t="s">
        <v>1039</v>
      </c>
      <c r="AV75" s="3" t="s">
        <v>4751</v>
      </c>
      <c r="AW75" s="4"/>
      <c r="AX75" s="3" t="s">
        <v>969</v>
      </c>
      <c r="AY75" s="27">
        <v>15.99</v>
      </c>
    </row>
    <row r="76" ht="15.75" customHeight="1">
      <c r="A76" s="45">
        <v>75.0</v>
      </c>
      <c r="B76" s="24">
        <v>29.0</v>
      </c>
      <c r="C76" s="5" t="s">
        <v>1</v>
      </c>
      <c r="D76" s="3" t="s">
        <v>953</v>
      </c>
      <c r="E76" s="25">
        <v>46186.31388888889</v>
      </c>
      <c r="F76" s="3" t="s">
        <v>4752</v>
      </c>
      <c r="G76" s="3" t="s">
        <v>4753</v>
      </c>
      <c r="H76" s="3" t="s">
        <v>4754</v>
      </c>
      <c r="I76" s="3" t="s">
        <v>4755</v>
      </c>
      <c r="J76" s="3" t="s">
        <v>4756</v>
      </c>
      <c r="K76" s="3" t="s">
        <v>4757</v>
      </c>
      <c r="L76" s="3" t="s">
        <v>4758</v>
      </c>
      <c r="M76" s="26">
        <v>32845.0</v>
      </c>
      <c r="N76" s="3" t="s">
        <v>4759</v>
      </c>
      <c r="O76" s="3" t="s">
        <v>4760</v>
      </c>
      <c r="P76" s="3" t="s">
        <v>4761</v>
      </c>
      <c r="Q76" s="3" t="s">
        <v>4762</v>
      </c>
      <c r="R76" s="3" t="s">
        <v>4763</v>
      </c>
      <c r="S76" s="3" t="s">
        <v>4764</v>
      </c>
      <c r="T76" s="3" t="s">
        <v>4765</v>
      </c>
      <c r="U76" s="3" t="s">
        <v>1124</v>
      </c>
      <c r="V76" s="3" t="s">
        <v>1124</v>
      </c>
      <c r="W76" s="3" t="s">
        <v>4766</v>
      </c>
      <c r="X76" s="3" t="s">
        <v>4767</v>
      </c>
      <c r="Y76" s="3" t="s">
        <v>971</v>
      </c>
      <c r="Z76" s="3" t="s">
        <v>4768</v>
      </c>
      <c r="AA76" s="3" t="s">
        <v>969</v>
      </c>
      <c r="AB76" s="3" t="s">
        <v>4769</v>
      </c>
      <c r="AC76" s="3" t="s">
        <v>969</v>
      </c>
      <c r="AD76" s="3" t="s">
        <v>4770</v>
      </c>
      <c r="AE76" s="4"/>
      <c r="AF76" s="3" t="s">
        <v>4771</v>
      </c>
      <c r="AG76" s="3" t="s">
        <v>1517</v>
      </c>
      <c r="AH76" s="3" t="s">
        <v>969</v>
      </c>
      <c r="AI76" s="3" t="s">
        <v>4772</v>
      </c>
      <c r="AJ76" s="3" t="s">
        <v>971</v>
      </c>
      <c r="AK76" s="4"/>
      <c r="AL76" s="3" t="s">
        <v>3384</v>
      </c>
      <c r="AM76" s="3" t="s">
        <v>4773</v>
      </c>
      <c r="AN76" s="3" t="s">
        <v>4774</v>
      </c>
      <c r="AO76" s="3" t="s">
        <v>4775</v>
      </c>
      <c r="AP76" s="3" t="s">
        <v>4776</v>
      </c>
      <c r="AQ76" s="3" t="s">
        <v>4777</v>
      </c>
      <c r="AR76" s="3" t="s">
        <v>4778</v>
      </c>
      <c r="AS76" s="3" t="s">
        <v>969</v>
      </c>
      <c r="AT76" s="3" t="s">
        <v>971</v>
      </c>
      <c r="AU76" s="3" t="s">
        <v>1260</v>
      </c>
      <c r="AV76" s="3" t="s">
        <v>2174</v>
      </c>
      <c r="AW76" s="3" t="s">
        <v>4779</v>
      </c>
      <c r="AX76" s="3" t="s">
        <v>969</v>
      </c>
      <c r="AY76" s="27">
        <v>15.99</v>
      </c>
    </row>
    <row r="77" ht="15.75" customHeight="1">
      <c r="A77" s="45">
        <v>76.0</v>
      </c>
      <c r="B77" s="24">
        <v>28.0</v>
      </c>
      <c r="C77" s="5" t="s">
        <v>1</v>
      </c>
      <c r="D77" s="3" t="s">
        <v>953</v>
      </c>
      <c r="E77" s="25">
        <v>46185.62222222222</v>
      </c>
      <c r="F77" s="3" t="s">
        <v>4780</v>
      </c>
      <c r="G77" s="3" t="s">
        <v>4781</v>
      </c>
      <c r="H77" s="3" t="s">
        <v>4782</v>
      </c>
      <c r="I77" s="3" t="s">
        <v>4783</v>
      </c>
      <c r="J77" s="4"/>
      <c r="K77" s="3" t="s">
        <v>2251</v>
      </c>
      <c r="L77" s="3" t="s">
        <v>4784</v>
      </c>
      <c r="M77" s="26">
        <v>37432.0</v>
      </c>
      <c r="N77" s="3" t="s">
        <v>4785</v>
      </c>
      <c r="O77" s="3" t="s">
        <v>4786</v>
      </c>
      <c r="P77" s="4"/>
      <c r="Q77" s="4"/>
      <c r="R77" s="4"/>
      <c r="S77" s="3" t="s">
        <v>4787</v>
      </c>
      <c r="T77" s="3" t="s">
        <v>4788</v>
      </c>
      <c r="U77" s="3" t="s">
        <v>4789</v>
      </c>
      <c r="V77" s="3" t="s">
        <v>4790</v>
      </c>
      <c r="W77" s="3" t="s">
        <v>4791</v>
      </c>
      <c r="X77" s="3" t="s">
        <v>4792</v>
      </c>
      <c r="Y77" s="3" t="s">
        <v>969</v>
      </c>
      <c r="Z77" s="3" t="s">
        <v>2251</v>
      </c>
      <c r="AA77" s="3" t="s">
        <v>969</v>
      </c>
      <c r="AB77" s="3" t="s">
        <v>4793</v>
      </c>
      <c r="AC77" s="3" t="s">
        <v>4794</v>
      </c>
      <c r="AD77" s="3" t="s">
        <v>4795</v>
      </c>
      <c r="AE77" s="3" t="s">
        <v>4796</v>
      </c>
      <c r="AF77" s="3" t="s">
        <v>4797</v>
      </c>
      <c r="AG77" s="3" t="s">
        <v>1133</v>
      </c>
      <c r="AH77" s="3" t="s">
        <v>971</v>
      </c>
      <c r="AI77" s="4"/>
      <c r="AJ77" s="4"/>
      <c r="AK77" s="4"/>
      <c r="AL77" s="3" t="s">
        <v>4798</v>
      </c>
      <c r="AM77" s="3" t="s">
        <v>4799</v>
      </c>
      <c r="AN77" s="3" t="s">
        <v>4800</v>
      </c>
      <c r="AO77" s="3" t="s">
        <v>4801</v>
      </c>
      <c r="AP77" s="3" t="s">
        <v>4802</v>
      </c>
      <c r="AQ77" s="3" t="s">
        <v>4803</v>
      </c>
      <c r="AR77" s="3" t="s">
        <v>4804</v>
      </c>
      <c r="AS77" s="3" t="s">
        <v>969</v>
      </c>
      <c r="AT77" s="3" t="s">
        <v>969</v>
      </c>
      <c r="AU77" s="3" t="s">
        <v>1039</v>
      </c>
      <c r="AV77" s="3" t="s">
        <v>1261</v>
      </c>
      <c r="AW77" s="4"/>
      <c r="AX77" s="3" t="s">
        <v>969</v>
      </c>
      <c r="AY77" s="27">
        <v>15.99</v>
      </c>
    </row>
    <row r="78" ht="15.75" customHeight="1">
      <c r="A78" s="45">
        <v>77.0</v>
      </c>
      <c r="B78" s="24">
        <v>26.0</v>
      </c>
      <c r="C78" s="5" t="s">
        <v>1</v>
      </c>
      <c r="D78" s="3" t="s">
        <v>953</v>
      </c>
      <c r="E78" s="25">
        <v>46184.77986111111</v>
      </c>
      <c r="F78" s="3" t="s">
        <v>4805</v>
      </c>
      <c r="G78" s="3" t="s">
        <v>4805</v>
      </c>
      <c r="H78" s="3" t="s">
        <v>4806</v>
      </c>
      <c r="I78" s="3" t="s">
        <v>4807</v>
      </c>
      <c r="J78" s="3" t="s">
        <v>4808</v>
      </c>
      <c r="K78" s="3" t="s">
        <v>4809</v>
      </c>
      <c r="L78" s="3" t="s">
        <v>4810</v>
      </c>
      <c r="M78" s="26">
        <v>34315.0</v>
      </c>
      <c r="N78" s="3" t="s">
        <v>4811</v>
      </c>
      <c r="O78" s="3" t="s">
        <v>4812</v>
      </c>
      <c r="P78" s="3" t="s">
        <v>4813</v>
      </c>
      <c r="Q78" s="4"/>
      <c r="R78" s="4"/>
      <c r="S78" s="3" t="s">
        <v>4814</v>
      </c>
      <c r="T78" s="3" t="s">
        <v>4815</v>
      </c>
      <c r="U78" s="3" t="s">
        <v>1124</v>
      </c>
      <c r="V78" s="3" t="s">
        <v>4816</v>
      </c>
      <c r="W78" s="3" t="s">
        <v>4817</v>
      </c>
      <c r="X78" s="3" t="s">
        <v>3023</v>
      </c>
      <c r="Y78" s="3" t="s">
        <v>971</v>
      </c>
      <c r="Z78" s="3" t="s">
        <v>4818</v>
      </c>
      <c r="AA78" s="3" t="s">
        <v>971</v>
      </c>
      <c r="AB78" s="4"/>
      <c r="AC78" s="3" t="s">
        <v>969</v>
      </c>
      <c r="AD78" s="3" t="s">
        <v>4819</v>
      </c>
      <c r="AE78" s="3" t="s">
        <v>4820</v>
      </c>
      <c r="AF78" s="3" t="s">
        <v>1250</v>
      </c>
      <c r="AG78" s="3" t="s">
        <v>1517</v>
      </c>
      <c r="AH78" s="3" t="s">
        <v>969</v>
      </c>
      <c r="AI78" s="3" t="s">
        <v>4821</v>
      </c>
      <c r="AJ78" s="3" t="s">
        <v>971</v>
      </c>
      <c r="AK78" s="4"/>
      <c r="AL78" s="3" t="s">
        <v>4822</v>
      </c>
      <c r="AM78" s="3" t="s">
        <v>4823</v>
      </c>
      <c r="AN78" s="3" t="s">
        <v>4824</v>
      </c>
      <c r="AO78" s="3" t="s">
        <v>4825</v>
      </c>
      <c r="AP78" s="3" t="s">
        <v>4826</v>
      </c>
      <c r="AQ78" s="3" t="s">
        <v>4827</v>
      </c>
      <c r="AR78" s="3" t="s">
        <v>4828</v>
      </c>
      <c r="AS78" s="3" t="s">
        <v>969</v>
      </c>
      <c r="AT78" s="3" t="s">
        <v>969</v>
      </c>
      <c r="AU78" s="3" t="s">
        <v>1409</v>
      </c>
      <c r="AV78" s="3" t="s">
        <v>908</v>
      </c>
      <c r="AW78" s="3" t="s">
        <v>1409</v>
      </c>
      <c r="AX78" s="3" t="s">
        <v>969</v>
      </c>
      <c r="AY78" s="27">
        <v>15.99</v>
      </c>
    </row>
    <row r="79" ht="15.75" customHeight="1">
      <c r="A79" s="45">
        <v>78.0</v>
      </c>
      <c r="B79" s="24">
        <v>16.0</v>
      </c>
      <c r="C79" s="5" t="s">
        <v>1</v>
      </c>
      <c r="D79" s="3" t="s">
        <v>953</v>
      </c>
      <c r="E79" s="25">
        <v>46174.50972222222</v>
      </c>
      <c r="F79" s="3" t="s">
        <v>4829</v>
      </c>
      <c r="G79" s="3" t="s">
        <v>4829</v>
      </c>
      <c r="H79" s="3" t="s">
        <v>4830</v>
      </c>
      <c r="I79" s="3" t="s">
        <v>4831</v>
      </c>
      <c r="J79" s="4"/>
      <c r="K79" s="3" t="s">
        <v>4832</v>
      </c>
      <c r="L79" s="3" t="s">
        <v>4833</v>
      </c>
      <c r="M79" s="26">
        <v>30483.0</v>
      </c>
      <c r="N79" s="3" t="s">
        <v>4834</v>
      </c>
      <c r="O79" s="3" t="s">
        <v>4835</v>
      </c>
      <c r="P79" s="4"/>
      <c r="Q79" s="4"/>
      <c r="R79" s="4"/>
      <c r="S79" s="3" t="s">
        <v>4836</v>
      </c>
      <c r="T79" s="3" t="s">
        <v>4837</v>
      </c>
      <c r="U79" s="3" t="s">
        <v>3233</v>
      </c>
      <c r="V79" s="3" t="s">
        <v>1799</v>
      </c>
      <c r="W79" s="4"/>
      <c r="X79" s="3" t="s">
        <v>4838</v>
      </c>
      <c r="Y79" s="3" t="s">
        <v>971</v>
      </c>
      <c r="Z79" s="3" t="s">
        <v>1537</v>
      </c>
      <c r="AA79" s="3" t="s">
        <v>971</v>
      </c>
      <c r="AB79" s="4"/>
      <c r="AC79" s="3" t="s">
        <v>6</v>
      </c>
      <c r="AD79" s="3" t="s">
        <v>4839</v>
      </c>
      <c r="AE79" s="4"/>
      <c r="AF79" s="3" t="s">
        <v>4840</v>
      </c>
      <c r="AG79" s="3" t="s">
        <v>4841</v>
      </c>
      <c r="AH79" s="3" t="s">
        <v>969</v>
      </c>
      <c r="AI79" s="3" t="s">
        <v>4842</v>
      </c>
      <c r="AJ79" s="3" t="s">
        <v>969</v>
      </c>
      <c r="AK79" s="3" t="s">
        <v>4843</v>
      </c>
      <c r="AL79" s="3" t="s">
        <v>4844</v>
      </c>
      <c r="AM79" s="3" t="s">
        <v>4845</v>
      </c>
      <c r="AN79" s="3" t="s">
        <v>4846</v>
      </c>
      <c r="AO79" s="3" t="s">
        <v>4847</v>
      </c>
      <c r="AP79" s="3" t="s">
        <v>4848</v>
      </c>
      <c r="AQ79" s="3" t="s">
        <v>4849</v>
      </c>
      <c r="AR79" s="3" t="s">
        <v>4850</v>
      </c>
      <c r="AS79" s="3" t="s">
        <v>971</v>
      </c>
      <c r="AT79" s="3" t="s">
        <v>971</v>
      </c>
      <c r="AU79" s="3" t="s">
        <v>1039</v>
      </c>
      <c r="AV79" s="3" t="s">
        <v>4851</v>
      </c>
      <c r="AW79" s="3" t="s">
        <v>4852</v>
      </c>
      <c r="AX79" s="3" t="s">
        <v>969</v>
      </c>
      <c r="AY79" s="27">
        <v>15.99</v>
      </c>
    </row>
    <row r="80" ht="15.75" customHeight="1">
      <c r="A80" s="45">
        <v>79.0</v>
      </c>
      <c r="B80" s="24">
        <v>14.0</v>
      </c>
      <c r="C80" s="5" t="s">
        <v>1</v>
      </c>
      <c r="D80" s="3" t="s">
        <v>953</v>
      </c>
      <c r="E80" s="25">
        <v>46173.01388888889</v>
      </c>
      <c r="F80" s="3" t="s">
        <v>4853</v>
      </c>
      <c r="G80" s="3" t="s">
        <v>4853</v>
      </c>
      <c r="H80" s="3" t="s">
        <v>4854</v>
      </c>
      <c r="I80" s="3" t="s">
        <v>4855</v>
      </c>
      <c r="J80" s="3" t="s">
        <v>4856</v>
      </c>
      <c r="K80" s="3" t="s">
        <v>189</v>
      </c>
      <c r="L80" s="3" t="s">
        <v>4857</v>
      </c>
      <c r="M80" s="26">
        <v>36728.0</v>
      </c>
      <c r="N80" s="3" t="s">
        <v>4858</v>
      </c>
      <c r="O80" s="3" t="s">
        <v>4859</v>
      </c>
      <c r="P80" s="3" t="s">
        <v>4860</v>
      </c>
      <c r="Q80" s="3" t="s">
        <v>4861</v>
      </c>
      <c r="R80" s="3" t="s">
        <v>4862</v>
      </c>
      <c r="S80" s="3" t="s">
        <v>4863</v>
      </c>
      <c r="T80" s="3" t="s">
        <v>4864</v>
      </c>
      <c r="U80" s="3" t="s">
        <v>4865</v>
      </c>
      <c r="V80" s="3" t="s">
        <v>4866</v>
      </c>
      <c r="W80" s="3" t="s">
        <v>4867</v>
      </c>
      <c r="X80" s="3" t="s">
        <v>2305</v>
      </c>
      <c r="Y80" s="3" t="s">
        <v>971</v>
      </c>
      <c r="Z80" s="3" t="s">
        <v>1128</v>
      </c>
      <c r="AA80" s="3" t="s">
        <v>971</v>
      </c>
      <c r="AB80" s="4"/>
      <c r="AC80" s="3" t="s">
        <v>969</v>
      </c>
      <c r="AD80" s="3" t="s">
        <v>4868</v>
      </c>
      <c r="AE80" s="3" t="s">
        <v>4869</v>
      </c>
      <c r="AF80" s="3" t="s">
        <v>1250</v>
      </c>
      <c r="AG80" s="4"/>
      <c r="AH80" s="3" t="s">
        <v>969</v>
      </c>
      <c r="AI80" s="3" t="s">
        <v>4870</v>
      </c>
      <c r="AJ80" s="3" t="s">
        <v>4871</v>
      </c>
      <c r="AK80" s="3" t="s">
        <v>4872</v>
      </c>
      <c r="AL80" s="3" t="s">
        <v>4873</v>
      </c>
      <c r="AM80" s="3" t="s">
        <v>4874</v>
      </c>
      <c r="AN80" s="3" t="s">
        <v>4875</v>
      </c>
      <c r="AO80" s="3" t="s">
        <v>4876</v>
      </c>
      <c r="AP80" s="3" t="s">
        <v>4877</v>
      </c>
      <c r="AQ80" s="3" t="s">
        <v>4878</v>
      </c>
      <c r="AR80" s="3" t="s">
        <v>4879</v>
      </c>
      <c r="AS80" s="3" t="s">
        <v>969</v>
      </c>
      <c r="AT80" s="3" t="s">
        <v>969</v>
      </c>
      <c r="AU80" s="3" t="s">
        <v>1039</v>
      </c>
      <c r="AV80" s="3" t="s">
        <v>1144</v>
      </c>
      <c r="AW80" s="3" t="s">
        <v>4880</v>
      </c>
      <c r="AX80" s="3" t="s">
        <v>969</v>
      </c>
      <c r="AY80" s="27">
        <v>15.99</v>
      </c>
    </row>
    <row r="81" ht="15.75" customHeight="1">
      <c r="A81" s="45">
        <v>80.0</v>
      </c>
      <c r="B81" s="24">
        <v>10.0</v>
      </c>
      <c r="C81" s="5" t="s">
        <v>1</v>
      </c>
      <c r="D81" s="3" t="s">
        <v>953</v>
      </c>
      <c r="E81" s="25">
        <v>46172.23958333334</v>
      </c>
      <c r="F81" s="3" t="s">
        <v>4881</v>
      </c>
      <c r="G81" s="3" t="s">
        <v>4881</v>
      </c>
      <c r="H81" s="3" t="s">
        <v>4882</v>
      </c>
      <c r="I81" s="3" t="s">
        <v>4883</v>
      </c>
      <c r="J81" s="3" t="s">
        <v>4884</v>
      </c>
      <c r="K81" s="3" t="s">
        <v>4885</v>
      </c>
      <c r="L81" s="3" t="s">
        <v>4886</v>
      </c>
      <c r="M81" s="26">
        <v>39203.0</v>
      </c>
      <c r="N81" s="3" t="s">
        <v>4887</v>
      </c>
      <c r="O81" s="3" t="s">
        <v>4888</v>
      </c>
      <c r="P81" s="3" t="s">
        <v>4889</v>
      </c>
      <c r="Q81" s="3" t="s">
        <v>4890</v>
      </c>
      <c r="R81" s="3" t="s">
        <v>4891</v>
      </c>
      <c r="S81" s="3" t="s">
        <v>4892</v>
      </c>
      <c r="T81" s="3" t="s">
        <v>4893</v>
      </c>
      <c r="U81" s="3" t="s">
        <v>1124</v>
      </c>
      <c r="V81" s="3" t="s">
        <v>1684</v>
      </c>
      <c r="W81" s="3" t="s">
        <v>4894</v>
      </c>
      <c r="X81" s="3" t="s">
        <v>4895</v>
      </c>
      <c r="Y81" s="3" t="s">
        <v>969</v>
      </c>
      <c r="Z81" s="4"/>
      <c r="AA81" s="3" t="s">
        <v>971</v>
      </c>
      <c r="AB81" s="4"/>
      <c r="AC81" s="4"/>
      <c r="AD81" s="3" t="s">
        <v>4896</v>
      </c>
      <c r="AE81" s="3" t="s">
        <v>4897</v>
      </c>
      <c r="AF81" s="3" t="s">
        <v>4898</v>
      </c>
      <c r="AG81" s="3" t="s">
        <v>4899</v>
      </c>
      <c r="AH81" s="3" t="s">
        <v>971</v>
      </c>
      <c r="AI81" s="4"/>
      <c r="AJ81" s="3" t="s">
        <v>4900</v>
      </c>
      <c r="AK81" s="3" t="s">
        <v>4901</v>
      </c>
      <c r="AL81" s="3" t="s">
        <v>4902</v>
      </c>
      <c r="AM81" s="3" t="s">
        <v>4903</v>
      </c>
      <c r="AN81" s="3" t="s">
        <v>4904</v>
      </c>
      <c r="AO81" s="3" t="s">
        <v>4905</v>
      </c>
      <c r="AP81" s="3" t="s">
        <v>4906</v>
      </c>
      <c r="AQ81" s="3" t="s">
        <v>4907</v>
      </c>
      <c r="AR81" s="3" t="s">
        <v>4908</v>
      </c>
      <c r="AS81" s="3" t="s">
        <v>971</v>
      </c>
      <c r="AT81" s="3" t="s">
        <v>969</v>
      </c>
      <c r="AU81" s="3" t="s">
        <v>1039</v>
      </c>
      <c r="AV81" s="3" t="s">
        <v>4909</v>
      </c>
      <c r="AW81" s="4"/>
      <c r="AX81" s="3" t="s">
        <v>969</v>
      </c>
      <c r="AY81" s="27">
        <v>15.99</v>
      </c>
    </row>
    <row r="82" ht="15.75" customHeight="1">
      <c r="A82" s="45">
        <v>81.0</v>
      </c>
      <c r="B82" s="24">
        <v>8.0</v>
      </c>
      <c r="C82" s="5" t="s">
        <v>1</v>
      </c>
      <c r="D82" s="3" t="s">
        <v>953</v>
      </c>
      <c r="E82" s="25">
        <v>46160.94791666666</v>
      </c>
      <c r="F82" s="3" t="s">
        <v>4910</v>
      </c>
      <c r="G82" s="3" t="s">
        <v>4910</v>
      </c>
      <c r="H82" s="3" t="s">
        <v>4911</v>
      </c>
      <c r="I82" s="3" t="s">
        <v>4911</v>
      </c>
      <c r="J82" s="4"/>
      <c r="K82" s="3" t="s">
        <v>189</v>
      </c>
      <c r="L82" s="3" t="s">
        <v>4912</v>
      </c>
      <c r="M82" s="26">
        <v>46169.0</v>
      </c>
      <c r="N82" s="3" t="s">
        <v>4913</v>
      </c>
      <c r="O82" s="3" t="s">
        <v>4914</v>
      </c>
      <c r="P82" s="4"/>
      <c r="Q82" s="4"/>
      <c r="R82" s="4"/>
      <c r="S82" s="3" t="s">
        <v>4915</v>
      </c>
      <c r="T82" s="3" t="s">
        <v>4916</v>
      </c>
      <c r="U82" s="3" t="s">
        <v>1271</v>
      </c>
      <c r="V82" s="3" t="s">
        <v>993</v>
      </c>
      <c r="W82" s="4"/>
      <c r="X82" s="3" t="s">
        <v>4917</v>
      </c>
      <c r="Y82" s="3" t="s">
        <v>969</v>
      </c>
      <c r="Z82" s="3" t="s">
        <v>4918</v>
      </c>
      <c r="AA82" s="3" t="s">
        <v>971</v>
      </c>
      <c r="AB82" s="4"/>
      <c r="AC82" s="4"/>
      <c r="AD82" s="3" t="s">
        <v>4919</v>
      </c>
      <c r="AE82" s="4"/>
      <c r="AF82" s="4"/>
      <c r="AG82" s="4"/>
      <c r="AH82" s="3" t="s">
        <v>971</v>
      </c>
      <c r="AI82" s="4"/>
      <c r="AJ82" s="4"/>
      <c r="AK82" s="4"/>
      <c r="AL82" s="4"/>
      <c r="AM82" s="3" t="s">
        <v>4920</v>
      </c>
      <c r="AN82" s="3" t="s">
        <v>4921</v>
      </c>
      <c r="AO82" s="3" t="s">
        <v>4922</v>
      </c>
      <c r="AP82" s="3" t="s">
        <v>4923</v>
      </c>
      <c r="AQ82" s="3" t="s">
        <v>4924</v>
      </c>
      <c r="AR82" s="3" t="s">
        <v>4925</v>
      </c>
      <c r="AS82" s="3" t="s">
        <v>969</v>
      </c>
      <c r="AT82" s="3" t="s">
        <v>969</v>
      </c>
      <c r="AU82" s="3" t="s">
        <v>1039</v>
      </c>
      <c r="AV82" s="3" t="s">
        <v>4926</v>
      </c>
      <c r="AW82" s="4"/>
      <c r="AX82" s="3" t="s">
        <v>969</v>
      </c>
      <c r="AY82" s="27">
        <v>15.99</v>
      </c>
    </row>
    <row r="83" ht="15.75" customHeight="1">
      <c r="A83" s="45">
        <v>82.0</v>
      </c>
      <c r="B83" s="24">
        <v>6.0</v>
      </c>
      <c r="C83" s="5" t="s">
        <v>1</v>
      </c>
      <c r="D83" s="3" t="s">
        <v>953</v>
      </c>
      <c r="E83" s="25">
        <v>46143.12013888889</v>
      </c>
      <c r="F83" s="3" t="s">
        <v>4927</v>
      </c>
      <c r="G83" s="3" t="s">
        <v>4927</v>
      </c>
      <c r="H83" s="3" t="s">
        <v>4928</v>
      </c>
      <c r="I83" s="3" t="s">
        <v>4929</v>
      </c>
      <c r="J83" s="3" t="s">
        <v>4930</v>
      </c>
      <c r="K83" s="3" t="s">
        <v>4931</v>
      </c>
      <c r="L83" s="3" t="s">
        <v>4932</v>
      </c>
      <c r="M83" s="26">
        <v>37911.0</v>
      </c>
      <c r="N83" s="3" t="s">
        <v>4933</v>
      </c>
      <c r="O83" s="3" t="s">
        <v>4934</v>
      </c>
      <c r="P83" s="4"/>
      <c r="Q83" s="4"/>
      <c r="R83" s="4"/>
      <c r="S83" s="3" t="s">
        <v>4935</v>
      </c>
      <c r="T83" s="3" t="s">
        <v>4936</v>
      </c>
      <c r="U83" s="3" t="s">
        <v>1050</v>
      </c>
      <c r="V83" s="3" t="s">
        <v>4937</v>
      </c>
      <c r="W83" s="3" t="s">
        <v>4938</v>
      </c>
      <c r="X83" s="3" t="s">
        <v>4939</v>
      </c>
      <c r="Y83" s="3" t="s">
        <v>969</v>
      </c>
      <c r="Z83" s="3" t="s">
        <v>4940</v>
      </c>
      <c r="AA83" s="3" t="s">
        <v>971</v>
      </c>
      <c r="AB83" s="4"/>
      <c r="AC83" s="3" t="s">
        <v>4941</v>
      </c>
      <c r="AD83" s="3" t="s">
        <v>4942</v>
      </c>
      <c r="AE83" s="3" t="s">
        <v>4943</v>
      </c>
      <c r="AF83" s="3" t="s">
        <v>1250</v>
      </c>
      <c r="AG83" s="3" t="s">
        <v>4045</v>
      </c>
      <c r="AH83" s="3" t="s">
        <v>971</v>
      </c>
      <c r="AI83" s="4"/>
      <c r="AJ83" s="3" t="s">
        <v>4944</v>
      </c>
      <c r="AK83" s="3" t="s">
        <v>4945</v>
      </c>
      <c r="AL83" s="3" t="s">
        <v>4946</v>
      </c>
      <c r="AM83" s="3" t="s">
        <v>4947</v>
      </c>
      <c r="AN83" s="3" t="s">
        <v>4948</v>
      </c>
      <c r="AO83" s="3" t="s">
        <v>4949</v>
      </c>
      <c r="AP83" s="3" t="s">
        <v>4950</v>
      </c>
      <c r="AQ83" s="3" t="s">
        <v>4951</v>
      </c>
      <c r="AR83" s="3" t="s">
        <v>4952</v>
      </c>
      <c r="AS83" s="3" t="s">
        <v>969</v>
      </c>
      <c r="AT83" s="3" t="s">
        <v>969</v>
      </c>
      <c r="AU83" s="3" t="s">
        <v>1039</v>
      </c>
      <c r="AV83" s="3" t="s">
        <v>4953</v>
      </c>
      <c r="AW83" s="3" t="s">
        <v>4954</v>
      </c>
      <c r="AX83" s="3" t="s">
        <v>969</v>
      </c>
      <c r="AY83" s="27">
        <v>15.99</v>
      </c>
    </row>
    <row r="84">
      <c r="A84" s="49"/>
    </row>
    <row r="85">
      <c r="A85" s="49"/>
    </row>
    <row r="86">
      <c r="A86" s="49"/>
    </row>
    <row r="87">
      <c r="A87" s="49"/>
    </row>
    <row r="88">
      <c r="A88" s="49"/>
    </row>
    <row r="89">
      <c r="A89" s="49"/>
    </row>
    <row r="90">
      <c r="A90" s="49"/>
    </row>
    <row r="91">
      <c r="A91" s="49"/>
    </row>
    <row r="92">
      <c r="A92" s="49"/>
    </row>
    <row r="93">
      <c r="A93" s="49"/>
    </row>
    <row r="94">
      <c r="A94" s="49"/>
    </row>
    <row r="95">
      <c r="A95" s="49"/>
    </row>
    <row r="96">
      <c r="A96" s="49"/>
    </row>
    <row r="97">
      <c r="A97" s="49"/>
    </row>
    <row r="98">
      <c r="A98" s="49"/>
    </row>
    <row r="99">
      <c r="A99" s="49"/>
    </row>
    <row r="100">
      <c r="A100" s="49"/>
    </row>
    <row r="101">
      <c r="A101" s="49"/>
    </row>
    <row r="102">
      <c r="A102" s="49"/>
    </row>
    <row r="103">
      <c r="A103" s="49"/>
    </row>
    <row r="104">
      <c r="A104" s="49"/>
    </row>
    <row r="105">
      <c r="A105" s="49"/>
    </row>
    <row r="106">
      <c r="A106" s="49"/>
    </row>
    <row r="107">
      <c r="A107" s="49"/>
    </row>
    <row r="108">
      <c r="A108" s="49"/>
    </row>
    <row r="109">
      <c r="A109" s="49"/>
    </row>
    <row r="110">
      <c r="A110" s="49"/>
    </row>
    <row r="111">
      <c r="A111" s="49"/>
    </row>
    <row r="112">
      <c r="A112" s="49"/>
    </row>
    <row r="113">
      <c r="A113" s="49"/>
    </row>
    <row r="114">
      <c r="A114" s="49"/>
    </row>
    <row r="115">
      <c r="A115" s="49"/>
    </row>
    <row r="116">
      <c r="A116" s="49"/>
    </row>
    <row r="117">
      <c r="A117" s="49"/>
    </row>
    <row r="118">
      <c r="A118" s="49"/>
    </row>
    <row r="119">
      <c r="A119" s="49"/>
    </row>
    <row r="120">
      <c r="A120" s="49"/>
    </row>
    <row r="121">
      <c r="A121" s="49"/>
    </row>
    <row r="122">
      <c r="A122" s="49"/>
    </row>
    <row r="123">
      <c r="A123" s="49"/>
    </row>
    <row r="124">
      <c r="A124" s="49"/>
    </row>
    <row r="125">
      <c r="A125" s="49"/>
    </row>
    <row r="126">
      <c r="A126" s="49"/>
    </row>
    <row r="127">
      <c r="A127" s="49"/>
    </row>
    <row r="128">
      <c r="A128" s="49"/>
    </row>
    <row r="129">
      <c r="A129" s="49"/>
    </row>
    <row r="130">
      <c r="A130" s="49"/>
    </row>
    <row r="131">
      <c r="A131" s="49"/>
    </row>
    <row r="132">
      <c r="A132" s="49"/>
    </row>
    <row r="133">
      <c r="A133" s="49"/>
    </row>
    <row r="134">
      <c r="A134" s="49"/>
    </row>
    <row r="135">
      <c r="A135" s="49"/>
    </row>
    <row r="136">
      <c r="A136" s="49"/>
    </row>
    <row r="137">
      <c r="A137" s="49"/>
    </row>
    <row r="138">
      <c r="A138" s="49"/>
    </row>
    <row r="139">
      <c r="A139" s="49"/>
    </row>
    <row r="140">
      <c r="A140" s="49"/>
    </row>
    <row r="141">
      <c r="A141" s="49"/>
    </row>
    <row r="142">
      <c r="A142" s="49"/>
    </row>
    <row r="143">
      <c r="A143" s="49"/>
    </row>
    <row r="144">
      <c r="A144" s="49"/>
    </row>
    <row r="145">
      <c r="A145" s="49"/>
    </row>
    <row r="146">
      <c r="A146" s="49"/>
    </row>
    <row r="147">
      <c r="A147" s="49"/>
    </row>
    <row r="148">
      <c r="A148" s="49"/>
    </row>
    <row r="149">
      <c r="A149" s="49"/>
    </row>
    <row r="150">
      <c r="A150" s="49"/>
    </row>
    <row r="151">
      <c r="A151" s="49"/>
    </row>
    <row r="152">
      <c r="A152" s="49"/>
    </row>
    <row r="153">
      <c r="A153" s="49"/>
    </row>
    <row r="154">
      <c r="A154" s="49"/>
    </row>
    <row r="155">
      <c r="A155" s="49"/>
    </row>
    <row r="156">
      <c r="A156" s="49"/>
    </row>
    <row r="157">
      <c r="A157" s="49"/>
    </row>
    <row r="158">
      <c r="A158" s="49"/>
    </row>
    <row r="159">
      <c r="A159" s="49"/>
    </row>
    <row r="160">
      <c r="A160" s="49"/>
    </row>
    <row r="161">
      <c r="A161" s="49"/>
    </row>
    <row r="162">
      <c r="A162" s="49"/>
    </row>
    <row r="163">
      <c r="A163" s="49"/>
    </row>
    <row r="164">
      <c r="A164" s="49"/>
    </row>
    <row r="165">
      <c r="A165" s="49"/>
    </row>
    <row r="166">
      <c r="A166" s="49"/>
    </row>
    <row r="167">
      <c r="A167" s="49"/>
    </row>
    <row r="168">
      <c r="A168" s="49"/>
    </row>
    <row r="169">
      <c r="A169" s="49"/>
    </row>
    <row r="170">
      <c r="A170" s="49"/>
    </row>
    <row r="171">
      <c r="A171" s="49"/>
    </row>
    <row r="172">
      <c r="A172" s="49"/>
    </row>
    <row r="173">
      <c r="A173" s="49"/>
    </row>
    <row r="174">
      <c r="A174" s="49"/>
    </row>
    <row r="175">
      <c r="A175" s="49"/>
    </row>
    <row r="176">
      <c r="A176" s="49"/>
    </row>
    <row r="177">
      <c r="A177" s="49"/>
    </row>
    <row r="178">
      <c r="A178" s="49"/>
    </row>
    <row r="179">
      <c r="A179" s="49"/>
    </row>
    <row r="180">
      <c r="A180" s="49"/>
    </row>
    <row r="181">
      <c r="A181" s="49"/>
    </row>
    <row r="182">
      <c r="A182" s="49"/>
    </row>
    <row r="183">
      <c r="A183" s="49"/>
    </row>
    <row r="184">
      <c r="A184" s="49"/>
    </row>
    <row r="185">
      <c r="A185" s="49"/>
    </row>
    <row r="186">
      <c r="A186" s="49"/>
    </row>
    <row r="187">
      <c r="A187" s="49"/>
    </row>
    <row r="188">
      <c r="A188" s="49"/>
    </row>
    <row r="189">
      <c r="A189" s="49"/>
    </row>
    <row r="190">
      <c r="A190" s="49"/>
    </row>
    <row r="191">
      <c r="A191" s="49"/>
    </row>
    <row r="192">
      <c r="A192" s="49"/>
    </row>
    <row r="193">
      <c r="A193" s="49"/>
    </row>
    <row r="194">
      <c r="A194" s="49"/>
    </row>
    <row r="195">
      <c r="A195" s="49"/>
    </row>
    <row r="196">
      <c r="A196" s="49"/>
    </row>
    <row r="197">
      <c r="A197" s="49"/>
    </row>
    <row r="198">
      <c r="A198" s="49"/>
    </row>
    <row r="199">
      <c r="A199" s="49"/>
    </row>
    <row r="200">
      <c r="A200" s="49"/>
    </row>
    <row r="201">
      <c r="A201" s="49"/>
    </row>
    <row r="202">
      <c r="A202" s="49"/>
    </row>
    <row r="203">
      <c r="A203" s="49"/>
    </row>
    <row r="204">
      <c r="A204" s="49"/>
    </row>
    <row r="205">
      <c r="A205" s="49"/>
    </row>
    <row r="206">
      <c r="A206" s="49"/>
    </row>
    <row r="207">
      <c r="A207" s="49"/>
    </row>
    <row r="208">
      <c r="A208" s="49"/>
    </row>
    <row r="209">
      <c r="A209" s="49"/>
    </row>
    <row r="210">
      <c r="A210" s="49"/>
    </row>
    <row r="211">
      <c r="A211" s="49"/>
    </row>
    <row r="212">
      <c r="A212" s="49"/>
    </row>
    <row r="213">
      <c r="A213" s="49"/>
    </row>
    <row r="214">
      <c r="A214" s="49"/>
    </row>
    <row r="215">
      <c r="A215" s="49"/>
    </row>
    <row r="216">
      <c r="A216" s="49"/>
    </row>
    <row r="217">
      <c r="A217" s="49"/>
    </row>
    <row r="218">
      <c r="A218" s="49"/>
    </row>
    <row r="219">
      <c r="A219" s="49"/>
    </row>
    <row r="220">
      <c r="A220" s="49"/>
    </row>
    <row r="221">
      <c r="A221" s="49"/>
    </row>
    <row r="222">
      <c r="A222" s="49"/>
    </row>
    <row r="223">
      <c r="A223" s="49"/>
    </row>
    <row r="224">
      <c r="A224" s="49"/>
    </row>
    <row r="225">
      <c r="A225" s="49"/>
    </row>
    <row r="226">
      <c r="A226" s="49"/>
    </row>
    <row r="227">
      <c r="A227" s="49"/>
    </row>
    <row r="228">
      <c r="A228" s="49"/>
    </row>
    <row r="229">
      <c r="A229" s="49"/>
    </row>
    <row r="230">
      <c r="A230" s="49"/>
    </row>
    <row r="231">
      <c r="A231" s="49"/>
    </row>
    <row r="232">
      <c r="A232" s="49"/>
    </row>
    <row r="233">
      <c r="A233" s="49"/>
    </row>
    <row r="234">
      <c r="A234" s="49"/>
    </row>
    <row r="235">
      <c r="A235" s="49"/>
    </row>
    <row r="236">
      <c r="A236" s="49"/>
    </row>
    <row r="237">
      <c r="A237" s="49"/>
    </row>
    <row r="238">
      <c r="A238" s="49"/>
    </row>
    <row r="239">
      <c r="A239" s="49"/>
    </row>
    <row r="240">
      <c r="A240" s="49"/>
    </row>
    <row r="241">
      <c r="A241" s="49"/>
    </row>
    <row r="242">
      <c r="A242" s="49"/>
    </row>
    <row r="243">
      <c r="A243" s="49"/>
    </row>
    <row r="244">
      <c r="A244" s="49"/>
    </row>
    <row r="245">
      <c r="A245" s="49"/>
    </row>
    <row r="246">
      <c r="A246" s="49"/>
    </row>
    <row r="247">
      <c r="A247" s="49"/>
    </row>
    <row r="248">
      <c r="A248" s="49"/>
    </row>
    <row r="249">
      <c r="A249" s="49"/>
    </row>
    <row r="250">
      <c r="A250" s="49"/>
    </row>
    <row r="251">
      <c r="A251" s="49"/>
    </row>
    <row r="252">
      <c r="A252" s="49"/>
    </row>
    <row r="253">
      <c r="A253" s="49"/>
    </row>
    <row r="254">
      <c r="A254" s="49"/>
    </row>
    <row r="255">
      <c r="A255" s="49"/>
    </row>
    <row r="256">
      <c r="A256" s="49"/>
    </row>
    <row r="257">
      <c r="A257" s="49"/>
    </row>
    <row r="258">
      <c r="A258" s="49"/>
    </row>
    <row r="259">
      <c r="A259" s="49"/>
    </row>
    <row r="260">
      <c r="A260" s="49"/>
    </row>
    <row r="261">
      <c r="A261" s="49"/>
    </row>
    <row r="262">
      <c r="A262" s="49"/>
    </row>
    <row r="263">
      <c r="A263" s="49"/>
    </row>
    <row r="264">
      <c r="A264" s="49"/>
    </row>
    <row r="265">
      <c r="A265" s="49"/>
    </row>
    <row r="266">
      <c r="A266" s="49"/>
    </row>
    <row r="267">
      <c r="A267" s="49"/>
    </row>
    <row r="268">
      <c r="A268" s="49"/>
    </row>
    <row r="269">
      <c r="A269" s="49"/>
    </row>
    <row r="270">
      <c r="A270" s="49"/>
    </row>
    <row r="271">
      <c r="A271" s="49"/>
    </row>
    <row r="272">
      <c r="A272" s="49"/>
    </row>
    <row r="273">
      <c r="A273" s="49"/>
    </row>
    <row r="274">
      <c r="A274" s="49"/>
    </row>
    <row r="275">
      <c r="A275" s="49"/>
    </row>
    <row r="276">
      <c r="A276" s="49"/>
    </row>
    <row r="277">
      <c r="A277" s="49"/>
    </row>
    <row r="278">
      <c r="A278" s="49"/>
    </row>
    <row r="279">
      <c r="A279" s="49"/>
    </row>
    <row r="280">
      <c r="A280" s="49"/>
    </row>
    <row r="281">
      <c r="A281" s="49"/>
    </row>
    <row r="282">
      <c r="A282" s="49"/>
    </row>
    <row r="283">
      <c r="A283" s="49"/>
    </row>
    <row r="284">
      <c r="A284" s="49"/>
    </row>
    <row r="285">
      <c r="A285" s="49"/>
    </row>
    <row r="286">
      <c r="A286" s="49"/>
    </row>
    <row r="287">
      <c r="A287" s="49"/>
    </row>
    <row r="288">
      <c r="A288" s="49"/>
    </row>
    <row r="289">
      <c r="A289" s="49"/>
    </row>
    <row r="290">
      <c r="A290" s="49"/>
    </row>
    <row r="291">
      <c r="A291" s="49"/>
    </row>
    <row r="292">
      <c r="A292" s="49"/>
    </row>
    <row r="293">
      <c r="A293" s="49"/>
    </row>
    <row r="294">
      <c r="A294" s="49"/>
    </row>
    <row r="295">
      <c r="A295" s="49"/>
    </row>
    <row r="296">
      <c r="A296" s="49"/>
    </row>
    <row r="297">
      <c r="A297" s="49"/>
    </row>
    <row r="298">
      <c r="A298" s="49"/>
    </row>
    <row r="299">
      <c r="A299" s="49"/>
    </row>
    <row r="300">
      <c r="A300" s="49"/>
    </row>
    <row r="301">
      <c r="A301" s="49"/>
    </row>
    <row r="302">
      <c r="A302" s="49"/>
    </row>
    <row r="303">
      <c r="A303" s="49"/>
    </row>
    <row r="304">
      <c r="A304" s="49"/>
    </row>
    <row r="305">
      <c r="A305" s="49"/>
    </row>
    <row r="306">
      <c r="A306" s="49"/>
    </row>
    <row r="307">
      <c r="A307" s="49"/>
    </row>
    <row r="308">
      <c r="A308" s="49"/>
    </row>
    <row r="309">
      <c r="A309" s="49"/>
    </row>
    <row r="310">
      <c r="A310" s="49"/>
    </row>
    <row r="311">
      <c r="A311" s="49"/>
    </row>
    <row r="312">
      <c r="A312" s="49"/>
    </row>
    <row r="313">
      <c r="A313" s="49"/>
    </row>
    <row r="314">
      <c r="A314" s="49"/>
    </row>
    <row r="315">
      <c r="A315" s="49"/>
    </row>
    <row r="316">
      <c r="A316" s="49"/>
    </row>
    <row r="317">
      <c r="A317" s="49"/>
    </row>
    <row r="318">
      <c r="A318" s="49"/>
    </row>
    <row r="319">
      <c r="A319" s="49"/>
    </row>
    <row r="320">
      <c r="A320" s="49"/>
    </row>
    <row r="321">
      <c r="A321" s="49"/>
    </row>
    <row r="322">
      <c r="A322" s="49"/>
    </row>
    <row r="323">
      <c r="A323" s="49"/>
    </row>
    <row r="324">
      <c r="A324" s="49"/>
    </row>
    <row r="325">
      <c r="A325" s="49"/>
    </row>
    <row r="326">
      <c r="A326" s="49"/>
    </row>
    <row r="327">
      <c r="A327" s="49"/>
    </row>
    <row r="328">
      <c r="A328" s="49"/>
    </row>
    <row r="329">
      <c r="A329" s="49"/>
    </row>
    <row r="330">
      <c r="A330" s="49"/>
    </row>
    <row r="331">
      <c r="A331" s="49"/>
    </row>
    <row r="332">
      <c r="A332" s="49"/>
    </row>
    <row r="333">
      <c r="A333" s="49"/>
    </row>
    <row r="334">
      <c r="A334" s="49"/>
    </row>
    <row r="335">
      <c r="A335" s="49"/>
    </row>
    <row r="336">
      <c r="A336" s="49"/>
    </row>
    <row r="337">
      <c r="A337" s="49"/>
    </row>
    <row r="338">
      <c r="A338" s="49"/>
    </row>
    <row r="339">
      <c r="A339" s="49"/>
    </row>
    <row r="340">
      <c r="A340" s="49"/>
    </row>
    <row r="341">
      <c r="A341" s="49"/>
    </row>
    <row r="342">
      <c r="A342" s="49"/>
    </row>
    <row r="343">
      <c r="A343" s="49"/>
    </row>
    <row r="344">
      <c r="A344" s="49"/>
    </row>
    <row r="345">
      <c r="A345" s="49"/>
    </row>
    <row r="346">
      <c r="A346" s="49"/>
    </row>
    <row r="347">
      <c r="A347" s="49"/>
    </row>
    <row r="348">
      <c r="A348" s="49"/>
    </row>
    <row r="349">
      <c r="A349" s="49"/>
    </row>
    <row r="350">
      <c r="A350" s="49"/>
    </row>
    <row r="351">
      <c r="A351" s="49"/>
    </row>
    <row r="352">
      <c r="A352" s="49"/>
    </row>
    <row r="353">
      <c r="A353" s="49"/>
    </row>
    <row r="354">
      <c r="A354" s="49"/>
    </row>
    <row r="355">
      <c r="A355" s="49"/>
    </row>
    <row r="356">
      <c r="A356" s="49"/>
    </row>
    <row r="357">
      <c r="A357" s="49"/>
    </row>
    <row r="358">
      <c r="A358" s="49"/>
    </row>
    <row r="359">
      <c r="A359" s="49"/>
    </row>
    <row r="360">
      <c r="A360" s="49"/>
    </row>
    <row r="361">
      <c r="A361" s="49"/>
    </row>
    <row r="362">
      <c r="A362" s="49"/>
    </row>
    <row r="363">
      <c r="A363" s="49"/>
    </row>
    <row r="364">
      <c r="A364" s="49"/>
    </row>
    <row r="365">
      <c r="A365" s="49"/>
    </row>
    <row r="366">
      <c r="A366" s="49"/>
    </row>
    <row r="367">
      <c r="A367" s="49"/>
    </row>
    <row r="368">
      <c r="A368" s="49"/>
    </row>
    <row r="369">
      <c r="A369" s="49"/>
    </row>
    <row r="370">
      <c r="A370" s="49"/>
    </row>
    <row r="371">
      <c r="A371" s="49"/>
    </row>
    <row r="372">
      <c r="A372" s="49"/>
    </row>
    <row r="373">
      <c r="A373" s="49"/>
    </row>
    <row r="374">
      <c r="A374" s="49"/>
    </row>
    <row r="375">
      <c r="A375" s="49"/>
    </row>
    <row r="376">
      <c r="A376" s="49"/>
    </row>
    <row r="377">
      <c r="A377" s="49"/>
    </row>
    <row r="378">
      <c r="A378" s="49"/>
    </row>
    <row r="379">
      <c r="A379" s="49"/>
    </row>
    <row r="380">
      <c r="A380" s="49"/>
    </row>
    <row r="381">
      <c r="A381" s="49"/>
    </row>
    <row r="382">
      <c r="A382" s="49"/>
    </row>
    <row r="383">
      <c r="A383" s="49"/>
    </row>
    <row r="384">
      <c r="A384" s="49"/>
    </row>
    <row r="385">
      <c r="A385" s="49"/>
    </row>
    <row r="386">
      <c r="A386" s="49"/>
    </row>
    <row r="387">
      <c r="A387" s="49"/>
    </row>
    <row r="388">
      <c r="A388" s="49"/>
    </row>
    <row r="389">
      <c r="A389" s="49"/>
    </row>
    <row r="390">
      <c r="A390" s="49"/>
    </row>
    <row r="391">
      <c r="A391" s="49"/>
    </row>
    <row r="392">
      <c r="A392" s="49"/>
    </row>
    <row r="393">
      <c r="A393" s="49"/>
    </row>
    <row r="394">
      <c r="A394" s="49"/>
    </row>
    <row r="395">
      <c r="A395" s="49"/>
    </row>
    <row r="396">
      <c r="A396" s="49"/>
    </row>
    <row r="397">
      <c r="A397" s="49"/>
    </row>
    <row r="398">
      <c r="A398" s="49"/>
    </row>
    <row r="399">
      <c r="A399" s="49"/>
    </row>
    <row r="400">
      <c r="A400" s="49"/>
    </row>
    <row r="401">
      <c r="A401" s="49"/>
    </row>
    <row r="402">
      <c r="A402" s="49"/>
    </row>
    <row r="403">
      <c r="A403" s="49"/>
    </row>
    <row r="404">
      <c r="A404" s="49"/>
    </row>
    <row r="405">
      <c r="A405" s="49"/>
    </row>
    <row r="406">
      <c r="A406" s="49"/>
    </row>
    <row r="407">
      <c r="A407" s="49"/>
    </row>
    <row r="408">
      <c r="A408" s="49"/>
    </row>
    <row r="409">
      <c r="A409" s="49"/>
    </row>
    <row r="410">
      <c r="A410" s="49"/>
    </row>
    <row r="411">
      <c r="A411" s="49"/>
    </row>
    <row r="412">
      <c r="A412" s="49"/>
    </row>
    <row r="413">
      <c r="A413" s="49"/>
    </row>
    <row r="414">
      <c r="A414" s="49"/>
    </row>
    <row r="415">
      <c r="A415" s="49"/>
    </row>
    <row r="416">
      <c r="A416" s="49"/>
    </row>
    <row r="417">
      <c r="A417" s="49"/>
    </row>
    <row r="418">
      <c r="A418" s="49"/>
    </row>
    <row r="419">
      <c r="A419" s="49"/>
    </row>
    <row r="420">
      <c r="A420" s="49"/>
    </row>
    <row r="421">
      <c r="A421" s="49"/>
    </row>
    <row r="422">
      <c r="A422" s="49"/>
    </row>
    <row r="423">
      <c r="A423" s="49"/>
    </row>
    <row r="424">
      <c r="A424" s="49"/>
    </row>
    <row r="425">
      <c r="A425" s="49"/>
    </row>
    <row r="426">
      <c r="A426" s="49"/>
    </row>
    <row r="427">
      <c r="A427" s="49"/>
    </row>
    <row r="428">
      <c r="A428" s="49"/>
    </row>
    <row r="429">
      <c r="A429" s="49"/>
    </row>
    <row r="430">
      <c r="A430" s="49"/>
    </row>
    <row r="431">
      <c r="A431" s="49"/>
    </row>
    <row r="432">
      <c r="A432" s="49"/>
    </row>
    <row r="433">
      <c r="A433" s="49"/>
    </row>
    <row r="434">
      <c r="A434" s="49"/>
    </row>
    <row r="435">
      <c r="A435" s="49"/>
    </row>
    <row r="436">
      <c r="A436" s="49"/>
    </row>
    <row r="437">
      <c r="A437" s="49"/>
    </row>
    <row r="438">
      <c r="A438" s="49"/>
    </row>
    <row r="439">
      <c r="A439" s="49"/>
    </row>
    <row r="440">
      <c r="A440" s="49"/>
    </row>
    <row r="441">
      <c r="A441" s="49"/>
    </row>
    <row r="442">
      <c r="A442" s="49"/>
    </row>
    <row r="443">
      <c r="A443" s="49"/>
    </row>
    <row r="444">
      <c r="A444" s="49"/>
    </row>
    <row r="445">
      <c r="A445" s="49"/>
    </row>
    <row r="446">
      <c r="A446" s="49"/>
    </row>
    <row r="447">
      <c r="A447" s="49"/>
    </row>
    <row r="448">
      <c r="A448" s="49"/>
    </row>
    <row r="449">
      <c r="A449" s="49"/>
    </row>
    <row r="450">
      <c r="A450" s="49"/>
    </row>
    <row r="451">
      <c r="A451" s="49"/>
    </row>
    <row r="452">
      <c r="A452" s="49"/>
    </row>
    <row r="453">
      <c r="A453" s="49"/>
    </row>
    <row r="454">
      <c r="A454" s="49"/>
    </row>
    <row r="455">
      <c r="A455" s="49"/>
    </row>
    <row r="456">
      <c r="A456" s="49"/>
    </row>
    <row r="457">
      <c r="A457" s="49"/>
    </row>
    <row r="458">
      <c r="A458" s="49"/>
    </row>
    <row r="459">
      <c r="A459" s="49"/>
    </row>
    <row r="460">
      <c r="A460" s="49"/>
    </row>
    <row r="461">
      <c r="A461" s="49"/>
    </row>
    <row r="462">
      <c r="A462" s="49"/>
    </row>
    <row r="463">
      <c r="A463" s="49"/>
    </row>
    <row r="464">
      <c r="A464" s="49"/>
    </row>
    <row r="465">
      <c r="A465" s="49"/>
    </row>
    <row r="466">
      <c r="A466" s="49"/>
    </row>
    <row r="467">
      <c r="A467" s="49"/>
    </row>
    <row r="468">
      <c r="A468" s="49"/>
    </row>
    <row r="469">
      <c r="A469" s="49"/>
    </row>
    <row r="470">
      <c r="A470" s="49"/>
    </row>
    <row r="471">
      <c r="A471" s="49"/>
    </row>
    <row r="472">
      <c r="A472" s="49"/>
    </row>
    <row r="473">
      <c r="A473" s="49"/>
    </row>
    <row r="474">
      <c r="A474" s="49"/>
    </row>
    <row r="475">
      <c r="A475" s="49"/>
    </row>
    <row r="476">
      <c r="A476" s="49"/>
    </row>
    <row r="477">
      <c r="A477" s="49"/>
    </row>
    <row r="478">
      <c r="A478" s="49"/>
    </row>
    <row r="479">
      <c r="A479" s="49"/>
    </row>
    <row r="480">
      <c r="A480" s="49"/>
    </row>
    <row r="481">
      <c r="A481" s="49"/>
    </row>
    <row r="482">
      <c r="A482" s="49"/>
    </row>
    <row r="483">
      <c r="A483" s="49"/>
    </row>
    <row r="484">
      <c r="A484" s="49"/>
    </row>
    <row r="485">
      <c r="A485" s="49"/>
    </row>
    <row r="486">
      <c r="A486" s="49"/>
    </row>
    <row r="487">
      <c r="A487" s="49"/>
    </row>
    <row r="488">
      <c r="A488" s="49"/>
    </row>
    <row r="489">
      <c r="A489" s="49"/>
    </row>
    <row r="490">
      <c r="A490" s="49"/>
    </row>
    <row r="491">
      <c r="A491" s="49"/>
    </row>
    <row r="492">
      <c r="A492" s="49"/>
    </row>
    <row r="493">
      <c r="A493" s="49"/>
    </row>
    <row r="494">
      <c r="A494" s="49"/>
    </row>
    <row r="495">
      <c r="A495" s="49"/>
    </row>
    <row r="496">
      <c r="A496" s="49"/>
    </row>
    <row r="497">
      <c r="A497" s="49"/>
    </row>
    <row r="498">
      <c r="A498" s="49"/>
    </row>
    <row r="499">
      <c r="A499" s="49"/>
    </row>
    <row r="500">
      <c r="A500" s="49"/>
    </row>
    <row r="501">
      <c r="A501" s="49"/>
    </row>
    <row r="502">
      <c r="A502" s="49"/>
    </row>
    <row r="503">
      <c r="A503" s="49"/>
    </row>
    <row r="504">
      <c r="A504" s="49"/>
    </row>
    <row r="505">
      <c r="A505" s="49"/>
    </row>
    <row r="506">
      <c r="A506" s="49"/>
    </row>
    <row r="507">
      <c r="A507" s="49"/>
    </row>
    <row r="508">
      <c r="A508" s="49"/>
    </row>
    <row r="509">
      <c r="A509" s="49"/>
    </row>
    <row r="510">
      <c r="A510" s="49"/>
    </row>
    <row r="511">
      <c r="A511" s="49"/>
    </row>
    <row r="512">
      <c r="A512" s="49"/>
    </row>
    <row r="513">
      <c r="A513" s="49"/>
    </row>
    <row r="514">
      <c r="A514" s="49"/>
    </row>
    <row r="515">
      <c r="A515" s="49"/>
    </row>
    <row r="516">
      <c r="A516" s="49"/>
    </row>
    <row r="517">
      <c r="A517" s="49"/>
    </row>
    <row r="518">
      <c r="A518" s="49"/>
    </row>
    <row r="519">
      <c r="A519" s="49"/>
    </row>
    <row r="520">
      <c r="A520" s="49"/>
    </row>
    <row r="521">
      <c r="A521" s="49"/>
    </row>
    <row r="522">
      <c r="A522" s="49"/>
    </row>
    <row r="523">
      <c r="A523" s="49"/>
    </row>
    <row r="524">
      <c r="A524" s="49"/>
    </row>
    <row r="525">
      <c r="A525" s="49"/>
    </row>
    <row r="526">
      <c r="A526" s="49"/>
    </row>
    <row r="527">
      <c r="A527" s="49"/>
    </row>
    <row r="528">
      <c r="A528" s="49"/>
    </row>
    <row r="529">
      <c r="A529" s="49"/>
    </row>
    <row r="530">
      <c r="A530" s="49"/>
    </row>
    <row r="531">
      <c r="A531" s="49"/>
    </row>
    <row r="532">
      <c r="A532" s="49"/>
    </row>
    <row r="533">
      <c r="A533" s="49"/>
    </row>
    <row r="534">
      <c r="A534" s="49"/>
    </row>
    <row r="535">
      <c r="A535" s="49"/>
    </row>
    <row r="536">
      <c r="A536" s="49"/>
    </row>
    <row r="537">
      <c r="A537" s="49"/>
    </row>
    <row r="538">
      <c r="A538" s="49"/>
    </row>
    <row r="539">
      <c r="A539" s="49"/>
    </row>
    <row r="540">
      <c r="A540" s="49"/>
    </row>
    <row r="541">
      <c r="A541" s="49"/>
    </row>
    <row r="542">
      <c r="A542" s="49"/>
    </row>
    <row r="543">
      <c r="A543" s="49"/>
    </row>
    <row r="544">
      <c r="A544" s="49"/>
    </row>
    <row r="545">
      <c r="A545" s="49"/>
    </row>
    <row r="546">
      <c r="A546" s="49"/>
    </row>
    <row r="547">
      <c r="A547" s="49"/>
    </row>
    <row r="548">
      <c r="A548" s="49"/>
    </row>
    <row r="549">
      <c r="A549" s="49"/>
    </row>
    <row r="550">
      <c r="A550" s="49"/>
    </row>
    <row r="551">
      <c r="A551" s="49"/>
    </row>
    <row r="552">
      <c r="A552" s="49"/>
    </row>
    <row r="553">
      <c r="A553" s="49"/>
    </row>
    <row r="554">
      <c r="A554" s="49"/>
    </row>
    <row r="555">
      <c r="A555" s="49"/>
    </row>
    <row r="556">
      <c r="A556" s="49"/>
    </row>
    <row r="557">
      <c r="A557" s="49"/>
    </row>
    <row r="558">
      <c r="A558" s="49"/>
    </row>
    <row r="559">
      <c r="A559" s="49"/>
    </row>
    <row r="560">
      <c r="A560" s="49"/>
    </row>
    <row r="561">
      <c r="A561" s="49"/>
    </row>
    <row r="562">
      <c r="A562" s="49"/>
    </row>
    <row r="563">
      <c r="A563" s="49"/>
    </row>
    <row r="564">
      <c r="A564" s="49"/>
    </row>
    <row r="565">
      <c r="A565" s="49"/>
    </row>
    <row r="566">
      <c r="A566" s="49"/>
    </row>
    <row r="567">
      <c r="A567" s="49"/>
    </row>
    <row r="568">
      <c r="A568" s="49"/>
    </row>
    <row r="569">
      <c r="A569" s="49"/>
    </row>
    <row r="570">
      <c r="A570" s="49"/>
    </row>
    <row r="571">
      <c r="A571" s="49"/>
    </row>
    <row r="572">
      <c r="A572" s="49"/>
    </row>
    <row r="573">
      <c r="A573" s="49"/>
    </row>
    <row r="574">
      <c r="A574" s="49"/>
    </row>
    <row r="575">
      <c r="A575" s="49"/>
    </row>
    <row r="576">
      <c r="A576" s="49"/>
    </row>
    <row r="577">
      <c r="A577" s="49"/>
    </row>
    <row r="578">
      <c r="A578" s="49"/>
    </row>
    <row r="579">
      <c r="A579" s="49"/>
    </row>
    <row r="580">
      <c r="A580" s="49"/>
    </row>
    <row r="581">
      <c r="A581" s="49"/>
    </row>
    <row r="582">
      <c r="A582" s="49"/>
    </row>
    <row r="583">
      <c r="A583" s="49"/>
    </row>
    <row r="584">
      <c r="A584" s="49"/>
    </row>
    <row r="585">
      <c r="A585" s="49"/>
    </row>
    <row r="586">
      <c r="A586" s="49"/>
    </row>
    <row r="587">
      <c r="A587" s="49"/>
    </row>
    <row r="588">
      <c r="A588" s="49"/>
    </row>
    <row r="589">
      <c r="A589" s="49"/>
    </row>
    <row r="590">
      <c r="A590" s="49"/>
    </row>
    <row r="591">
      <c r="A591" s="49"/>
    </row>
    <row r="592">
      <c r="A592" s="49"/>
    </row>
    <row r="593">
      <c r="A593" s="49"/>
    </row>
    <row r="594">
      <c r="A594" s="49"/>
    </row>
    <row r="595">
      <c r="A595" s="49"/>
    </row>
    <row r="596">
      <c r="A596" s="49"/>
    </row>
    <row r="597">
      <c r="A597" s="49"/>
    </row>
    <row r="598">
      <c r="A598" s="49"/>
    </row>
    <row r="599">
      <c r="A599" s="49"/>
    </row>
    <row r="600">
      <c r="A600" s="49"/>
    </row>
    <row r="601">
      <c r="A601" s="49"/>
    </row>
    <row r="602">
      <c r="A602" s="49"/>
    </row>
    <row r="603">
      <c r="A603" s="49"/>
    </row>
    <row r="604">
      <c r="A604" s="49"/>
    </row>
    <row r="605">
      <c r="A605" s="49"/>
    </row>
    <row r="606">
      <c r="A606" s="49"/>
    </row>
    <row r="607">
      <c r="A607" s="49"/>
    </row>
    <row r="608">
      <c r="A608" s="49"/>
    </row>
    <row r="609">
      <c r="A609" s="49"/>
    </row>
    <row r="610">
      <c r="A610" s="49"/>
    </row>
    <row r="611">
      <c r="A611" s="49"/>
    </row>
    <row r="612">
      <c r="A612" s="49"/>
    </row>
    <row r="613">
      <c r="A613" s="49"/>
    </row>
    <row r="614">
      <c r="A614" s="49"/>
    </row>
    <row r="615">
      <c r="A615" s="49"/>
    </row>
    <row r="616">
      <c r="A616" s="49"/>
    </row>
    <row r="617">
      <c r="A617" s="49"/>
    </row>
    <row r="618">
      <c r="A618" s="49"/>
    </row>
    <row r="619">
      <c r="A619" s="49"/>
    </row>
    <row r="620">
      <c r="A620" s="49"/>
    </row>
    <row r="621">
      <c r="A621" s="49"/>
    </row>
    <row r="622">
      <c r="A622" s="49"/>
    </row>
    <row r="623">
      <c r="A623" s="49"/>
    </row>
    <row r="624">
      <c r="A624" s="49"/>
    </row>
    <row r="625">
      <c r="A625" s="49"/>
    </row>
    <row r="626">
      <c r="A626" s="49"/>
    </row>
    <row r="627">
      <c r="A627" s="49"/>
    </row>
    <row r="628">
      <c r="A628" s="49"/>
    </row>
    <row r="629">
      <c r="A629" s="49"/>
    </row>
    <row r="630">
      <c r="A630" s="49"/>
    </row>
    <row r="631">
      <c r="A631" s="49"/>
    </row>
    <row r="632">
      <c r="A632" s="49"/>
    </row>
    <row r="633">
      <c r="A633" s="49"/>
    </row>
    <row r="634">
      <c r="A634" s="49"/>
    </row>
    <row r="635">
      <c r="A635" s="49"/>
    </row>
    <row r="636">
      <c r="A636" s="49"/>
    </row>
    <row r="637">
      <c r="A637" s="49"/>
    </row>
    <row r="638">
      <c r="A638" s="49"/>
    </row>
    <row r="639">
      <c r="A639" s="49"/>
    </row>
    <row r="640">
      <c r="A640" s="49"/>
    </row>
    <row r="641">
      <c r="A641" s="49"/>
    </row>
    <row r="642">
      <c r="A642" s="49"/>
    </row>
    <row r="643">
      <c r="A643" s="49"/>
    </row>
    <row r="644">
      <c r="A644" s="49"/>
    </row>
    <row r="645">
      <c r="A645" s="49"/>
    </row>
    <row r="646">
      <c r="A646" s="49"/>
    </row>
    <row r="647">
      <c r="A647" s="49"/>
    </row>
    <row r="648">
      <c r="A648" s="49"/>
    </row>
    <row r="649">
      <c r="A649" s="49"/>
    </row>
    <row r="650">
      <c r="A650" s="49"/>
    </row>
    <row r="651">
      <c r="A651" s="49"/>
    </row>
    <row r="652">
      <c r="A652" s="49"/>
    </row>
    <row r="653">
      <c r="A653" s="49"/>
    </row>
    <row r="654">
      <c r="A654" s="49"/>
    </row>
    <row r="655">
      <c r="A655" s="49"/>
    </row>
    <row r="656">
      <c r="A656" s="49"/>
    </row>
    <row r="657">
      <c r="A657" s="49"/>
    </row>
    <row r="658">
      <c r="A658" s="49"/>
    </row>
    <row r="659">
      <c r="A659" s="49"/>
    </row>
    <row r="660">
      <c r="A660" s="49"/>
    </row>
    <row r="661">
      <c r="A661" s="49"/>
    </row>
    <row r="662">
      <c r="A662" s="49"/>
    </row>
    <row r="663">
      <c r="A663" s="49"/>
    </row>
    <row r="664">
      <c r="A664" s="49"/>
    </row>
    <row r="665">
      <c r="A665" s="49"/>
    </row>
    <row r="666">
      <c r="A666" s="49"/>
    </row>
    <row r="667">
      <c r="A667" s="49"/>
    </row>
    <row r="668">
      <c r="A668" s="49"/>
    </row>
    <row r="669">
      <c r="A669" s="49"/>
    </row>
    <row r="670">
      <c r="A670" s="49"/>
    </row>
    <row r="671">
      <c r="A671" s="49"/>
    </row>
    <row r="672">
      <c r="A672" s="49"/>
    </row>
    <row r="673">
      <c r="A673" s="49"/>
    </row>
    <row r="674">
      <c r="A674" s="49"/>
    </row>
    <row r="675">
      <c r="A675" s="49"/>
    </row>
    <row r="676">
      <c r="A676" s="49"/>
    </row>
    <row r="677">
      <c r="A677" s="49"/>
    </row>
    <row r="678">
      <c r="A678" s="49"/>
    </row>
    <row r="679">
      <c r="A679" s="49"/>
    </row>
    <row r="680">
      <c r="A680" s="49"/>
    </row>
    <row r="681">
      <c r="A681" s="49"/>
    </row>
    <row r="682">
      <c r="A682" s="49"/>
    </row>
    <row r="683">
      <c r="A683" s="49"/>
    </row>
    <row r="684">
      <c r="A684" s="49"/>
    </row>
    <row r="685">
      <c r="A685" s="49"/>
    </row>
    <row r="686">
      <c r="A686" s="49"/>
    </row>
    <row r="687">
      <c r="A687" s="49"/>
    </row>
    <row r="688">
      <c r="A688" s="49"/>
    </row>
    <row r="689">
      <c r="A689" s="49"/>
    </row>
    <row r="690">
      <c r="A690" s="49"/>
    </row>
    <row r="691">
      <c r="A691" s="49"/>
    </row>
    <row r="692">
      <c r="A692" s="49"/>
    </row>
    <row r="693">
      <c r="A693" s="49"/>
    </row>
    <row r="694">
      <c r="A694" s="49"/>
    </row>
    <row r="695">
      <c r="A695" s="49"/>
    </row>
    <row r="696">
      <c r="A696" s="49"/>
    </row>
    <row r="697">
      <c r="A697" s="49"/>
    </row>
    <row r="698">
      <c r="A698" s="49"/>
    </row>
    <row r="699">
      <c r="A699" s="49"/>
    </row>
    <row r="700">
      <c r="A700" s="49"/>
    </row>
    <row r="701">
      <c r="A701" s="49"/>
    </row>
    <row r="702">
      <c r="A702" s="49"/>
    </row>
    <row r="703">
      <c r="A703" s="49"/>
    </row>
    <row r="704">
      <c r="A704" s="49"/>
    </row>
    <row r="705">
      <c r="A705" s="49"/>
    </row>
    <row r="706">
      <c r="A706" s="49"/>
    </row>
    <row r="707">
      <c r="A707" s="49"/>
    </row>
    <row r="708">
      <c r="A708" s="49"/>
    </row>
    <row r="709">
      <c r="A709" s="49"/>
    </row>
    <row r="710">
      <c r="A710" s="49"/>
    </row>
    <row r="711">
      <c r="A711" s="49"/>
    </row>
    <row r="712">
      <c r="A712" s="49"/>
    </row>
    <row r="713">
      <c r="A713" s="49"/>
    </row>
    <row r="714">
      <c r="A714" s="49"/>
    </row>
    <row r="715">
      <c r="A715" s="49"/>
    </row>
    <row r="716">
      <c r="A716" s="49"/>
    </row>
    <row r="717">
      <c r="A717" s="49"/>
    </row>
    <row r="718">
      <c r="A718" s="49"/>
    </row>
    <row r="719">
      <c r="A719" s="49"/>
    </row>
    <row r="720">
      <c r="A720" s="49"/>
    </row>
    <row r="721">
      <c r="A721" s="49"/>
    </row>
    <row r="722">
      <c r="A722" s="49"/>
    </row>
    <row r="723">
      <c r="A723" s="49"/>
    </row>
    <row r="724">
      <c r="A724" s="49"/>
    </row>
    <row r="725">
      <c r="A725" s="49"/>
    </row>
    <row r="726">
      <c r="A726" s="49"/>
    </row>
    <row r="727">
      <c r="A727" s="49"/>
    </row>
    <row r="728">
      <c r="A728" s="49"/>
    </row>
    <row r="729">
      <c r="A729" s="49"/>
    </row>
    <row r="730">
      <c r="A730" s="49"/>
    </row>
    <row r="731">
      <c r="A731" s="49"/>
    </row>
    <row r="732">
      <c r="A732" s="49"/>
    </row>
    <row r="733">
      <c r="A733" s="49"/>
    </row>
    <row r="734">
      <c r="A734" s="49"/>
    </row>
    <row r="735">
      <c r="A735" s="49"/>
    </row>
    <row r="736">
      <c r="A736" s="49"/>
    </row>
    <row r="737">
      <c r="A737" s="49"/>
    </row>
    <row r="738">
      <c r="A738" s="49"/>
    </row>
    <row r="739">
      <c r="A739" s="49"/>
    </row>
    <row r="740">
      <c r="A740" s="49"/>
    </row>
    <row r="741">
      <c r="A741" s="49"/>
    </row>
    <row r="742">
      <c r="A742" s="49"/>
    </row>
    <row r="743">
      <c r="A743" s="49"/>
    </row>
    <row r="744">
      <c r="A744" s="49"/>
    </row>
    <row r="745">
      <c r="A745" s="49"/>
    </row>
    <row r="746">
      <c r="A746" s="49"/>
    </row>
    <row r="747">
      <c r="A747" s="49"/>
    </row>
    <row r="748">
      <c r="A748" s="49"/>
    </row>
    <row r="749">
      <c r="A749" s="49"/>
    </row>
    <row r="750">
      <c r="A750" s="49"/>
    </row>
    <row r="751">
      <c r="A751" s="49"/>
    </row>
    <row r="752">
      <c r="A752" s="49"/>
    </row>
    <row r="753">
      <c r="A753" s="49"/>
    </row>
    <row r="754">
      <c r="A754" s="49"/>
    </row>
    <row r="755">
      <c r="A755" s="49"/>
    </row>
    <row r="756">
      <c r="A756" s="49"/>
    </row>
    <row r="757">
      <c r="A757" s="49"/>
    </row>
    <row r="758">
      <c r="A758" s="49"/>
    </row>
    <row r="759">
      <c r="A759" s="49"/>
    </row>
    <row r="760">
      <c r="A760" s="49"/>
    </row>
    <row r="761">
      <c r="A761" s="49"/>
    </row>
    <row r="762">
      <c r="A762" s="49"/>
    </row>
    <row r="763">
      <c r="A763" s="49"/>
    </row>
    <row r="764">
      <c r="A764" s="49"/>
    </row>
    <row r="765">
      <c r="A765" s="49"/>
    </row>
    <row r="766">
      <c r="A766" s="49"/>
    </row>
    <row r="767">
      <c r="A767" s="49"/>
    </row>
    <row r="768">
      <c r="A768" s="49"/>
    </row>
    <row r="769">
      <c r="A769" s="49"/>
    </row>
    <row r="770">
      <c r="A770" s="49"/>
    </row>
    <row r="771">
      <c r="A771" s="49"/>
    </row>
    <row r="772">
      <c r="A772" s="49"/>
    </row>
    <row r="773">
      <c r="A773" s="49"/>
    </row>
    <row r="774">
      <c r="A774" s="49"/>
    </row>
    <row r="775">
      <c r="A775" s="49"/>
    </row>
    <row r="776">
      <c r="A776" s="49"/>
    </row>
    <row r="777">
      <c r="A777" s="49"/>
    </row>
    <row r="778">
      <c r="A778" s="49"/>
    </row>
    <row r="779">
      <c r="A779" s="49"/>
    </row>
    <row r="780">
      <c r="A780" s="49"/>
    </row>
    <row r="781">
      <c r="A781" s="49"/>
    </row>
    <row r="782">
      <c r="A782" s="49"/>
    </row>
    <row r="783">
      <c r="A783" s="49"/>
    </row>
    <row r="784">
      <c r="A784" s="49"/>
    </row>
    <row r="785">
      <c r="A785" s="49"/>
    </row>
    <row r="786">
      <c r="A786" s="49"/>
    </row>
    <row r="787">
      <c r="A787" s="49"/>
    </row>
    <row r="788">
      <c r="A788" s="49"/>
    </row>
    <row r="789">
      <c r="A789" s="49"/>
    </row>
    <row r="790">
      <c r="A790" s="49"/>
    </row>
    <row r="791">
      <c r="A791" s="49"/>
    </row>
    <row r="792">
      <c r="A792" s="49"/>
    </row>
    <row r="793">
      <c r="A793" s="49"/>
    </row>
    <row r="794">
      <c r="A794" s="49"/>
    </row>
    <row r="795">
      <c r="A795" s="49"/>
    </row>
    <row r="796">
      <c r="A796" s="49"/>
    </row>
    <row r="797">
      <c r="A797" s="49"/>
    </row>
    <row r="798">
      <c r="A798" s="49"/>
    </row>
    <row r="799">
      <c r="A799" s="49"/>
    </row>
    <row r="800">
      <c r="A800" s="49"/>
    </row>
    <row r="801">
      <c r="A801" s="49"/>
    </row>
    <row r="802">
      <c r="A802" s="49"/>
    </row>
    <row r="803">
      <c r="A803" s="49"/>
    </row>
    <row r="804">
      <c r="A804" s="49"/>
    </row>
    <row r="805">
      <c r="A805" s="49"/>
    </row>
    <row r="806">
      <c r="A806" s="49"/>
    </row>
    <row r="807">
      <c r="A807" s="49"/>
    </row>
    <row r="808">
      <c r="A808" s="49"/>
    </row>
    <row r="809">
      <c r="A809" s="49"/>
    </row>
    <row r="810">
      <c r="A810" s="49"/>
    </row>
    <row r="811">
      <c r="A811" s="49"/>
    </row>
    <row r="812">
      <c r="A812" s="49"/>
    </row>
    <row r="813">
      <c r="A813" s="49"/>
    </row>
    <row r="814">
      <c r="A814" s="49"/>
    </row>
    <row r="815">
      <c r="A815" s="49"/>
    </row>
    <row r="816">
      <c r="A816" s="49"/>
    </row>
    <row r="817">
      <c r="A817" s="49"/>
    </row>
    <row r="818">
      <c r="A818" s="49"/>
    </row>
    <row r="819">
      <c r="A819" s="49"/>
    </row>
    <row r="820">
      <c r="A820" s="49"/>
    </row>
    <row r="821">
      <c r="A821" s="49"/>
    </row>
    <row r="822">
      <c r="A822" s="49"/>
    </row>
    <row r="823">
      <c r="A823" s="49"/>
    </row>
    <row r="824">
      <c r="A824" s="49"/>
    </row>
    <row r="825">
      <c r="A825" s="49"/>
    </row>
    <row r="826">
      <c r="A826" s="49"/>
    </row>
    <row r="827">
      <c r="A827" s="49"/>
    </row>
    <row r="828">
      <c r="A828" s="49"/>
    </row>
    <row r="829">
      <c r="A829" s="49"/>
    </row>
    <row r="830">
      <c r="A830" s="49"/>
    </row>
    <row r="831">
      <c r="A831" s="49"/>
    </row>
    <row r="832">
      <c r="A832" s="49"/>
    </row>
    <row r="833">
      <c r="A833" s="49"/>
    </row>
    <row r="834">
      <c r="A834" s="49"/>
    </row>
    <row r="835">
      <c r="A835" s="49"/>
    </row>
    <row r="836">
      <c r="A836" s="49"/>
    </row>
    <row r="837">
      <c r="A837" s="49"/>
    </row>
    <row r="838">
      <c r="A838" s="49"/>
    </row>
    <row r="839">
      <c r="A839" s="49"/>
    </row>
    <row r="840">
      <c r="A840" s="49"/>
    </row>
    <row r="841">
      <c r="A841" s="49"/>
    </row>
    <row r="842">
      <c r="A842" s="49"/>
    </row>
    <row r="843">
      <c r="A843" s="49"/>
    </row>
    <row r="844">
      <c r="A844" s="49"/>
    </row>
    <row r="845">
      <c r="A845" s="49"/>
    </row>
    <row r="846">
      <c r="A846" s="49"/>
    </row>
    <row r="847">
      <c r="A847" s="49"/>
    </row>
    <row r="848">
      <c r="A848" s="49"/>
    </row>
    <row r="849">
      <c r="A849" s="49"/>
    </row>
    <row r="850">
      <c r="A850" s="49"/>
    </row>
    <row r="851">
      <c r="A851" s="49"/>
    </row>
    <row r="852">
      <c r="A852" s="49"/>
    </row>
    <row r="853">
      <c r="A853" s="49"/>
    </row>
    <row r="854">
      <c r="A854" s="49"/>
    </row>
    <row r="855">
      <c r="A855" s="49"/>
    </row>
    <row r="856">
      <c r="A856" s="49"/>
    </row>
    <row r="857">
      <c r="A857" s="49"/>
    </row>
    <row r="858">
      <c r="A858" s="49"/>
    </row>
    <row r="859">
      <c r="A859" s="49"/>
    </row>
    <row r="860">
      <c r="A860" s="49"/>
    </row>
    <row r="861">
      <c r="A861" s="49"/>
    </row>
    <row r="862">
      <c r="A862" s="49"/>
    </row>
    <row r="863">
      <c r="A863" s="49"/>
    </row>
    <row r="864">
      <c r="A864" s="49"/>
    </row>
    <row r="865">
      <c r="A865" s="49"/>
    </row>
    <row r="866">
      <c r="A866" s="49"/>
    </row>
    <row r="867">
      <c r="A867" s="49"/>
    </row>
    <row r="868">
      <c r="A868" s="49"/>
    </row>
    <row r="869">
      <c r="A869" s="49"/>
    </row>
    <row r="870">
      <c r="A870" s="49"/>
    </row>
    <row r="871">
      <c r="A871" s="49"/>
    </row>
    <row r="872">
      <c r="A872" s="49"/>
    </row>
    <row r="873">
      <c r="A873" s="49"/>
    </row>
    <row r="874">
      <c r="A874" s="49"/>
    </row>
    <row r="875">
      <c r="A875" s="49"/>
    </row>
    <row r="876">
      <c r="A876" s="49"/>
    </row>
    <row r="877">
      <c r="A877" s="49"/>
    </row>
    <row r="878">
      <c r="A878" s="49"/>
    </row>
    <row r="879">
      <c r="A879" s="49"/>
    </row>
    <row r="880">
      <c r="A880" s="49"/>
    </row>
    <row r="881">
      <c r="A881" s="49"/>
    </row>
    <row r="882">
      <c r="A882" s="49"/>
    </row>
    <row r="883">
      <c r="A883" s="49"/>
    </row>
    <row r="884">
      <c r="A884" s="49"/>
    </row>
    <row r="885">
      <c r="A885" s="49"/>
    </row>
    <row r="886">
      <c r="A886" s="49"/>
    </row>
    <row r="887">
      <c r="A887" s="49"/>
    </row>
    <row r="888">
      <c r="A888" s="49"/>
    </row>
    <row r="889">
      <c r="A889" s="49"/>
    </row>
    <row r="890">
      <c r="A890" s="49"/>
    </row>
    <row r="891">
      <c r="A891" s="49"/>
    </row>
    <row r="892">
      <c r="A892" s="49"/>
    </row>
    <row r="893">
      <c r="A893" s="49"/>
    </row>
    <row r="894">
      <c r="A894" s="49"/>
    </row>
    <row r="895">
      <c r="A895" s="49"/>
    </row>
    <row r="896">
      <c r="A896" s="49"/>
    </row>
    <row r="897">
      <c r="A897" s="49"/>
    </row>
    <row r="898">
      <c r="A898" s="49"/>
    </row>
    <row r="899">
      <c r="A899" s="49"/>
    </row>
    <row r="900">
      <c r="A900" s="49"/>
    </row>
    <row r="901">
      <c r="A901" s="49"/>
    </row>
    <row r="902">
      <c r="A902" s="49"/>
    </row>
    <row r="903">
      <c r="A903" s="49"/>
    </row>
    <row r="904">
      <c r="A904" s="49"/>
    </row>
    <row r="905">
      <c r="A905" s="49"/>
    </row>
    <row r="906">
      <c r="A906" s="49"/>
    </row>
    <row r="907">
      <c r="A907" s="49"/>
    </row>
    <row r="908">
      <c r="A908" s="49"/>
    </row>
    <row r="909">
      <c r="A909" s="49"/>
    </row>
    <row r="910">
      <c r="A910" s="49"/>
    </row>
    <row r="911">
      <c r="A911" s="49"/>
    </row>
    <row r="912">
      <c r="A912" s="49"/>
    </row>
    <row r="913">
      <c r="A913" s="49"/>
    </row>
    <row r="914">
      <c r="A914" s="49"/>
    </row>
    <row r="915">
      <c r="A915" s="49"/>
    </row>
    <row r="916">
      <c r="A916" s="49"/>
    </row>
    <row r="917">
      <c r="A917" s="49"/>
    </row>
    <row r="918">
      <c r="A918" s="49"/>
    </row>
    <row r="919">
      <c r="A919" s="49"/>
    </row>
    <row r="920">
      <c r="A920" s="49"/>
    </row>
    <row r="921">
      <c r="A921" s="49"/>
    </row>
    <row r="922">
      <c r="A922" s="49"/>
    </row>
    <row r="923">
      <c r="A923" s="49"/>
    </row>
    <row r="924">
      <c r="A924" s="49"/>
    </row>
    <row r="925">
      <c r="A925" s="49"/>
    </row>
    <row r="926">
      <c r="A926" s="49"/>
    </row>
    <row r="927">
      <c r="A927" s="49"/>
    </row>
    <row r="928">
      <c r="A928" s="49"/>
    </row>
    <row r="929">
      <c r="A929" s="49"/>
    </row>
    <row r="930">
      <c r="A930" s="49"/>
    </row>
    <row r="931">
      <c r="A931" s="49"/>
    </row>
    <row r="932">
      <c r="A932" s="49"/>
    </row>
    <row r="933">
      <c r="A933" s="49"/>
    </row>
    <row r="934">
      <c r="A934" s="49"/>
    </row>
    <row r="935">
      <c r="A935" s="49"/>
    </row>
    <row r="936">
      <c r="A936" s="49"/>
    </row>
    <row r="937">
      <c r="A937" s="49"/>
    </row>
    <row r="938">
      <c r="A938" s="49"/>
    </row>
    <row r="939">
      <c r="A939" s="49"/>
    </row>
    <row r="940">
      <c r="A940" s="49"/>
    </row>
    <row r="941">
      <c r="A941" s="49"/>
    </row>
    <row r="942">
      <c r="A942" s="49"/>
    </row>
    <row r="943">
      <c r="A943" s="49"/>
    </row>
    <row r="944">
      <c r="A944" s="49"/>
    </row>
    <row r="945">
      <c r="A945" s="49"/>
    </row>
    <row r="946">
      <c r="A946" s="49"/>
    </row>
    <row r="947">
      <c r="A947" s="49"/>
    </row>
    <row r="948">
      <c r="A948" s="49"/>
    </row>
    <row r="949">
      <c r="A949" s="49"/>
    </row>
    <row r="950">
      <c r="A950" s="49"/>
    </row>
    <row r="951">
      <c r="A951" s="49"/>
    </row>
    <row r="952">
      <c r="A952" s="49"/>
    </row>
    <row r="953">
      <c r="A953" s="49"/>
    </row>
    <row r="954">
      <c r="A954" s="49"/>
    </row>
    <row r="955">
      <c r="A955" s="49"/>
    </row>
    <row r="956">
      <c r="A956" s="49"/>
    </row>
    <row r="957">
      <c r="A957" s="49"/>
    </row>
    <row r="958">
      <c r="A958" s="49"/>
    </row>
    <row r="959">
      <c r="A959" s="49"/>
    </row>
    <row r="960">
      <c r="A960" s="49"/>
    </row>
    <row r="961">
      <c r="A961" s="49"/>
    </row>
    <row r="962">
      <c r="A962" s="49"/>
    </row>
    <row r="963">
      <c r="A963" s="49"/>
    </row>
    <row r="964">
      <c r="A964" s="49"/>
    </row>
    <row r="965">
      <c r="A965" s="49"/>
    </row>
    <row r="966">
      <c r="A966" s="49"/>
    </row>
    <row r="967">
      <c r="A967" s="49"/>
    </row>
    <row r="968">
      <c r="A968" s="49"/>
    </row>
    <row r="969">
      <c r="A969" s="49"/>
    </row>
    <row r="970">
      <c r="A970" s="49"/>
    </row>
    <row r="971">
      <c r="A971" s="49"/>
    </row>
    <row r="972">
      <c r="A972" s="49"/>
    </row>
    <row r="973">
      <c r="A973" s="49"/>
    </row>
    <row r="974">
      <c r="A974" s="49"/>
    </row>
    <row r="975">
      <c r="A975" s="49"/>
    </row>
    <row r="976">
      <c r="A976" s="49"/>
    </row>
    <row r="977">
      <c r="A977" s="49"/>
    </row>
    <row r="978">
      <c r="A978" s="49"/>
    </row>
    <row r="979">
      <c r="A979" s="49"/>
    </row>
    <row r="980">
      <c r="A980" s="49"/>
    </row>
    <row r="981">
      <c r="A981" s="49"/>
    </row>
    <row r="982">
      <c r="A982" s="49"/>
    </row>
    <row r="983">
      <c r="A983" s="49"/>
    </row>
    <row r="984">
      <c r="A984" s="49"/>
    </row>
    <row r="985">
      <c r="A985" s="49"/>
    </row>
    <row r="986">
      <c r="A986" s="49"/>
    </row>
    <row r="987">
      <c r="A987" s="49"/>
    </row>
    <row r="988">
      <c r="A988" s="49"/>
    </row>
    <row r="989">
      <c r="A989" s="49"/>
    </row>
    <row r="990">
      <c r="A990" s="49"/>
    </row>
    <row r="991">
      <c r="A991" s="49"/>
    </row>
    <row r="992">
      <c r="A992" s="49"/>
    </row>
    <row r="993">
      <c r="A993" s="49"/>
    </row>
    <row r="994">
      <c r="A994" s="49"/>
    </row>
    <row r="995">
      <c r="A995" s="49"/>
    </row>
    <row r="996">
      <c r="A996" s="49"/>
    </row>
    <row r="997">
      <c r="A997" s="49"/>
    </row>
    <row r="998">
      <c r="A998" s="49"/>
    </row>
    <row r="999">
      <c r="A999" s="49"/>
    </row>
    <row r="1000">
      <c r="A1000" s="4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63"/>
    <col customWidth="1" min="2" max="2" width="3.63"/>
    <col customWidth="1" min="3" max="3" width="8.38"/>
    <col customWidth="1" min="4" max="4" width="16.88"/>
    <col customWidth="1" min="5" max="5" width="28.13"/>
    <col customWidth="1" min="6" max="6" width="38.88"/>
    <col customWidth="1" min="7" max="7" width="30.63"/>
    <col customWidth="1" min="8" max="8" width="30.38"/>
    <col customWidth="1" min="9" max="9" width="111.5"/>
    <col customWidth="1" min="10" max="10" width="28.75"/>
    <col customWidth="1" min="11" max="11" width="38.5"/>
    <col customWidth="1" min="12" max="12" width="10.13"/>
    <col customWidth="1" min="13" max="13" width="11.88"/>
    <col customWidth="1" min="14" max="14" width="52.0"/>
    <col customWidth="1" min="15" max="15" width="131.25"/>
    <col customWidth="1" min="16" max="16" width="390.5"/>
    <col customWidth="1" min="17" max="17" width="50.75"/>
    <col customWidth="1" min="18" max="18" width="62.0"/>
    <col customWidth="1" min="19" max="19" width="59.25"/>
    <col customWidth="1" min="20" max="20" width="47.75"/>
    <col customWidth="1" min="21" max="21" width="67.25"/>
    <col customWidth="1" min="22" max="22" width="100.13"/>
    <col customWidth="1" min="23" max="23" width="75.88"/>
    <col customWidth="1" min="24" max="24" width="29.63"/>
    <col customWidth="1" min="25" max="25" width="28.75"/>
    <col customWidth="1" min="26" max="26" width="37.88"/>
    <col customWidth="1" min="27" max="27" width="101.88"/>
    <col customWidth="1" min="28" max="28" width="817.38"/>
    <col customWidth="1" min="29" max="29" width="609.88"/>
    <col customWidth="1" min="30" max="30" width="262.88"/>
    <col customWidth="1" min="31" max="31" width="592.63"/>
    <col customWidth="1" min="32" max="32" width="84.63"/>
    <col customWidth="1" min="33" max="33" width="21.25"/>
    <col customWidth="1" min="34" max="34" width="600.38"/>
    <col customWidth="1" min="35" max="35" width="333.75"/>
    <col customWidth="1" min="36" max="36" width="705.5"/>
    <col customWidth="1" min="37" max="37" width="1103.63"/>
    <col customWidth="1" min="38" max="38" width="66.0"/>
    <col customWidth="1" min="39" max="39" width="882.63"/>
    <col customWidth="1" min="40" max="40" width="810.25"/>
    <col customWidth="1" min="41" max="41" width="1029.5"/>
    <col customWidth="1" min="42" max="42" width="902.88"/>
    <col customWidth="1" min="43" max="43" width="1154.25"/>
    <col customWidth="1" min="44" max="44" width="39.75"/>
    <col customWidth="1" min="45" max="45" width="54.25"/>
    <col customWidth="1" min="46" max="46" width="96.38"/>
    <col customWidth="1" min="47" max="47" width="420.63"/>
    <col customWidth="1" min="48" max="48" width="1218.5"/>
    <col customWidth="1" min="49" max="49" width="5.25"/>
    <col customWidth="1" min="50" max="50" width="49.75"/>
  </cols>
  <sheetData>
    <row r="1" ht="15.75" customHeight="1">
      <c r="A1" s="55" t="str">
        <f>IFERROR(__xludf.DUMMYFUNCTION("{""Evaluation Status"", 'All Applications'!B163:AY163; SORT({ARRAYFORMULA(IFERROR(VLOOKUP(FILTER('All Applications'!B1:B994, 'All Applications'!B1:B994&lt;&gt;""""), Evaluation!A:C, 3, FALSE), """")), FILTER('All Applications'!B1:AY994, 'All Applications'!B1:B9"&amp;"94&lt;&gt;"""")}, 2, TRUE)}"),"Evaluation Status")</f>
        <v>Evaluation Status</v>
      </c>
      <c r="B1" s="56">
        <f>IFERROR(__xludf.DUMMYFUNCTION("""COMPUTED_VALUE"""),12.0)</f>
        <v>12</v>
      </c>
      <c r="C1" s="55"/>
      <c r="D1" s="55" t="str">
        <f>IFERROR(__xludf.DUMMYFUNCTION("""COMPUTED_VALUE"""),"Submitted")</f>
        <v>Submitted</v>
      </c>
      <c r="E1" s="57">
        <f>IFERROR(__xludf.DUMMYFUNCTION("""COMPUTED_VALUE"""),46172.42430555556)</f>
        <v>46172.42431</v>
      </c>
      <c r="F1" s="55" t="str">
        <f>IFERROR(__xludf.DUMMYFUNCTION("""COMPUTED_VALUE"""),"Salma Ouhriz")</f>
        <v>Salma Ouhriz</v>
      </c>
      <c r="G1" s="55" t="str">
        <f>IFERROR(__xludf.DUMMYFUNCTION("""COMPUTED_VALUE"""),"Salma Ouhriz")</f>
        <v>Salma Ouhriz</v>
      </c>
      <c r="H1" s="55" t="str">
        <f>IFERROR(__xludf.DUMMYFUNCTION("""COMPUTED_VALUE"""),"salmaouhriz@gmail.com")</f>
        <v>salmaouhriz@gmail.com</v>
      </c>
      <c r="I1" s="55" t="str">
        <f>IFERROR(__xludf.DUMMYFUNCTION("""COMPUTED_VALUE"""),"salmaouhriz@gmail.com")</f>
        <v>salmaouhriz@gmail.com</v>
      </c>
      <c r="J1" s="55"/>
      <c r="K1" s="55" t="str">
        <f>IFERROR(__xludf.DUMMYFUNCTION("""COMPUTED_VALUE"""),"Morocco")</f>
        <v>Morocco</v>
      </c>
      <c r="L1" s="55" t="str">
        <f>IFERROR(__xludf.DUMMYFUNCTION("""COMPUTED_VALUE"""),"+8619863923269")</f>
        <v>+8619863923269</v>
      </c>
      <c r="M1" s="58">
        <f>IFERROR(__xludf.DUMMYFUNCTION("""COMPUTED_VALUE"""),37484.0)</f>
        <v>37484</v>
      </c>
      <c r="N1" s="55" t="str">
        <f>IFERROR(__xludf.DUMMYFUNCTION("""COMPUTED_VALUE"""),"QE6072012")</f>
        <v>QE6072012</v>
      </c>
      <c r="O1" s="55" t="str">
        <f>IFERROR(__xludf.DUMMYFUNCTION("""COMPUTED_VALUE"""),"+212633433101")</f>
        <v>+212633433101</v>
      </c>
      <c r="P1" s="55"/>
      <c r="Q1" s="59" t="str">
        <f>IFERROR(__xludf.DUMMYFUNCTION("""COMPUTED_VALUE"""),"https://www.instagram.com/salma.oz_")</f>
        <v>https://www.instagram.com/salma.oz_</v>
      </c>
      <c r="R1" s="55"/>
      <c r="S1" s="55" t="str">
        <f>IFERROR(__xludf.DUMMYFUNCTION("""COMPUTED_VALUE"""),"Passport.pdf")</f>
        <v>Passport.pdf</v>
      </c>
      <c r="T1" s="55" t="str">
        <f>IFERROR(__xludf.DUMMYFUNCTION("""COMPUTED_VALUE"""),"1859577252b4786ff354b8b976791776.jpeg")</f>
        <v>1859577252b4786ff354b8b976791776.jpeg</v>
      </c>
      <c r="U1" s="55" t="str">
        <f>IFERROR(__xludf.DUMMYFUNCTION("""COMPUTED_VALUE"""),"Bachelor")</f>
        <v>Bachelor</v>
      </c>
      <c r="V1" s="55" t="str">
        <f>IFERROR(__xludf.DUMMYFUNCTION("""COMPUTED_VALUE"""),"Undergraduate degree")</f>
        <v>Undergraduate degree</v>
      </c>
      <c r="W1" s="55" t="str">
        <f>IFERROR(__xludf.DUMMYFUNCTION("""COMPUTED_VALUE"""),"International economics and trade")</f>
        <v>International economics and trade</v>
      </c>
      <c r="X1" s="55" t="str">
        <f>IFERROR(__xludf.DUMMYFUNCTION("""COMPUTED_VALUE"""),"Linyi University")</f>
        <v>Linyi University</v>
      </c>
      <c r="Y1" s="55" t="str">
        <f>IFERROR(__xludf.DUMMYFUNCTION("""COMPUTED_VALUE"""),"No")</f>
        <v>No</v>
      </c>
      <c r="Z1" s="55" t="str">
        <f>IFERROR(__xludf.DUMMYFUNCTION("""COMPUTED_VALUE"""),"China mainland")</f>
        <v>China mainland</v>
      </c>
      <c r="AA1" s="55" t="str">
        <f>IFERROR(__xludf.DUMMYFUNCTION("""COMPUTED_VALUE"""),"No")</f>
        <v>No</v>
      </c>
      <c r="AB1" s="55"/>
      <c r="AC1" s="55" t="str">
        <f>IFERROR(__xludf.DUMMYFUNCTION("""COMPUTED_VALUE"""),"Yes, Yes. During my Bachelor’s degree in International Business and Trade, I conducted a thesis research project analyzing the positive and negative impacts of Chinese Foreign Direct Investment (FDI) in Morocco.")</f>
        <v>Yes, Yes. During my Bachelor’s degree in International Business and Trade, I conducted a thesis research project analyzing the positive and negative impacts of Chinese Foreign Direct Investment (FDI) in Morocco.</v>
      </c>
      <c r="AD1" s="55" t="str">
        <f>IFERROR(__xludf.DUMMYFUNCTION("""COMPUTED_VALUE"""),"Yes, 临沂爱之旅康复医院, I volunteered at a children’s hospital supporting children with special needs.")</f>
        <v>Yes, 临沂爱之旅康复医院, I volunteered at a children’s hospital supporting children with special needs.</v>
      </c>
      <c r="AE1" s="55"/>
      <c r="AF1" s="55"/>
      <c r="AG1" s="55"/>
      <c r="AH1" s="55" t="str">
        <f>IFERROR(__xludf.DUMMYFUNCTION("""COMPUTED_VALUE"""),"No")</f>
        <v>No</v>
      </c>
      <c r="AI1" s="55"/>
      <c r="AJ1" s="55" t="str">
        <f>IFERROR(__xludf.DUMMYFUNCTION("""COMPUTED_VALUE"""),"Yes , WhatsApp community, sharing opportunities for Moroccans youth.")</f>
        <v>Yes , WhatsApp community, sharing opportunities for Moroccans youth.</v>
      </c>
      <c r="AK1" s="55" t="str">
        <f>IFERROR(__xludf.DUMMYFUNCTION("""COMPUTED_VALUE"""),"To connect young people with educational, cultural, leadership, and international opportunities. The initiative aims to help youth access scholarships, exchange programs and Conferences")</f>
        <v>To connect young people with educational, cultural, leadership, and international opportunities. The initiative aims to help youth access scholarships, exchange programs and Conferences</v>
      </c>
      <c r="AL1" s="55" t="str">
        <f>IFERROR(__xludf.DUMMYFUNCTION("""COMPUTED_VALUE"""),"Research , sports, negotiation, cross-cultural teamwork")</f>
        <v>Research , sports, negotiation, cross-cultural teamwork</v>
      </c>
      <c r="AM1" s="55" t="str">
        <f>IFERROR(__xludf.DUMMYFUNCTION("""COMPUTED_VALUE"""),"CV.pdf")</f>
        <v>CV.pdf</v>
      </c>
      <c r="AN1" s="55" t="str">
        <f>IFERROR(__xludf.DUMMYFUNCTION("""COMPUTED_VALUE"""),"Yes, I believe meaningful change begins with small actions. In my personal capacity, I have volunteered with children with special needs, spending time supporting and encouraging them. I have also actively shared information about scholarships, youth prog"&amp;"rams, cultural exchanges, and leadership opportunities with young people, helping them access resources that can transform their futures. Through my studies in China and my research on China–Morocco relations, I have sought to promote intercultural unders"&amp;"tanding and global awareness. While these actions may seem small, I believe empowering individuals and connecting people across cultures contributes to positive and lasting change.")</f>
        <v>Yes, I believe meaningful change begins with small actions. In my personal capacity, I have volunteered with children with special needs, spending time supporting and encouraging them. I have also actively shared information about scholarships, youth programs, cultural exchanges, and leadership opportunities with young people, helping them access resources that can transform their futures. Through my studies in China and my research on China–Morocco relations, I have sought to promote intercultural understanding and global awareness. While these actions may seem small, I believe empowering individuals and connecting people across cultures contributes to positive and lasting change.</v>
      </c>
      <c r="AO1" s="55" t="str">
        <f>IFERROR(__xludf.DUMMYFUNCTION("""COMPUTED_VALUE"""),"I believe no single country is the most diplomatically significant, as diplomacy depends on cooperation among nations. Having studied in China, I have witnessed how educational exchanges, trade cooperation, and cultural engagement can strengthen relations"&amp;"hips between countries. At the same time, organizations such as the United Nations demonstrate that global challenges require collective action. Effective diplomacy is not about the power of one nation but about building dialogue, trust, and cooperation a"&amp;"mong many nations.")</f>
        <v>I believe no single country is the most diplomatically significant, as diplomacy depends on cooperation among nations. Having studied in China, I have witnessed how educational exchanges, trade cooperation, and cultural engagement can strengthen relationships between countries. At the same time, organizations such as the United Nations demonstrate that global challenges require collective action. Effective diplomacy is not about the power of one nation but about building dialogue, trust, and cooperation among many nations.</v>
      </c>
      <c r="AP1" s="55" t="str">
        <f>IFERROR(__xludf.DUMMYFUNCTION("""COMPUTED_VALUE"""),"Youth play a vital role in diplomacy because they bring new perspectives, creativity, and a willingness to engage across cultural boundaries. In today’s interconnected world, diplomacy is no longer limited to governments and diplomats. Young people contri"&amp;"bute through education, cultural exchange, social media, entrepreneurship, and international cooperation.
I relate strongly to the concept of public diplomacy because my own experiences have shown me the value of people-to-people connections. As a Morocca"&amp;"n who studied in China, I have experienced different cultures firsthand and learned how dialogue can overcome misunderstandings and stereotypes. Through sharing opportunities and encouraging international engagement among young people, I aim to build brid"&amp;"ges between communities and promote mutual understanding.
Public diplomacy allows ordinary citizens to become ambassadors of their cultures and values. I believe that every interaction between people from different backgrounds can contribute to stronger i"&amp;"nternational relationships. By participating in international programs and engaging with diverse communities, I hope to continue fostering intercultural understanding and encouraging young people to become active contributors to global cooperation and pea"&amp;"ce.")</f>
        <v>Youth play a vital role in diplomacy because they bring new perspectives, creativity, and a willingness to engage across cultural boundaries. In today’s interconnected world, diplomacy is no longer limited to governments and diplomats. Young people contribute through education, cultural exchange, social media, entrepreneurship, and international cooperation.
I relate strongly to the concept of public diplomacy because my own experiences have shown me the value of people-to-people connections. As a Moroccan who studied in China, I have experienced different cultures firsthand and learned how dialogue can overcome misunderstandings and stereotypes. Through sharing opportunities and encouraging international engagement among young people, I aim to build bridges between communities and promote mutual understanding.
Public diplomacy allows ordinary citizens to become ambassadors of their cultures and values. I believe that every interaction between people from different backgrounds can contribute to stronger international relationships. By participating in international programs and engaging with diverse communities, I hope to continue fostering intercultural understanding and encouraging young people to become active contributors to global cooperation and peace.</v>
      </c>
      <c r="AQ1" s="55" t="str">
        <f>IFERROR(__xludf.DUMMYFUNCTION("""COMPUTED_VALUE"""),"Passion is the inner motivation that drives individuals to keep learning, growing, and pursuing their goals despite challenges. For me, passion comes from my curiosity about different cultures, international cooperation, and creating opportunities for you"&amp;"ng people. It motivates me to seek new experiences, conduct research, participate in international programs, and continuously improve my skills.
So Passion helps me remain focused during difficult situations and encourages me to view challenges as opportu"&amp;"nities for growth. It has guided my academic journey, including my research on China–Morocco economic relations, and continues to inspire my involvement in youth development and cross-cultural initiatives. I believe that passion transforms goals into mean"&amp;"ingful actions and enables individuals to make a positive contribution to society.")</f>
        <v>Passion is the inner motivation that drives individuals to keep learning, growing, and pursuing their goals despite challenges. For me, passion comes from my curiosity about different cultures, international cooperation, and creating opportunities for young people. It motivates me to seek new experiences, conduct research, participate in international programs, and continuously improve my skills.
So Passion helps me remain focused during difficult situations and encourages me to view challenges as opportunities for growth. It has guided my academic journey, including my research on China–Morocco economic relations, and continues to inspire my involvement in youth development and cross-cultural initiatives. I believe that passion transforms goals into meaningful actions and enables individuals to make a positive contribution to society.</v>
      </c>
      <c r="AR1" s="55" t="str">
        <f>IFERROR(__xludf.DUMMYFUNCTION("""COMPUTED_VALUE"""),"Yes, I consider myself a creative person because I enjoy finding innovative ways to connect people, share ideas, and solve problems. Creativity is an essential tool in public diplomacy because it helps communicate complex messages in ways that are engagin"&amp;"g, relatable, and culturally sensitive.
I believe creativity can be used to promote international understanding through storytelling, digital content, cultural exchange initiatives, and youth-led projects. For example, social media platforms can be used t"&amp;"o share personal experiences, educational opportunities, and cultural insights that encourage dialogue between people from different backgrounds. Creative campaigns can also highlight common values and foster mutual respect among communities.
I understand"&amp;" the importance of presenting information in ways that inspire curiosity and empathy. By combining creativity with communication, technology, and intercultural understanding, I hope to contribute to public diplomacy efforts that strengthen global connecti"&amp;"ons, encourage cooperation, and empower young people to become active global citizens.
This is one of the main reasons I am applying to this program. I would like to gain a deeper understanding of how public diplomacy operates in practice and how young p"&amp;"eople can contribute meaningfully to international dialogue and cooperation. I believe this experience will help me develop the knowledge, skills, and global perspective necessary to become a more effective advocate for intercultural understanding and you"&amp;"th engagement.")</f>
        <v>Yes, I consider myself a creative person because I enjoy finding innovative ways to connect people, share ideas, and solve problems. Creativity is an essential tool in public diplomacy because it helps communicate complex messages in ways that are engaging, relatable, and culturally sensitive.
I believe creativity can be used to promote international understanding through storytelling, digital content, cultural exchange initiatives, and youth-led projects. For example, social media platforms can be used to share personal experiences, educational opportunities, and cultural insights that encourage dialogue between people from different backgrounds. Creative campaigns can also highlight common values and foster mutual respect among communities.
I understand the importance of presenting information in ways that inspire curiosity and empathy. By combining creativity with communication, technology, and intercultural understanding, I hope to contribute to public diplomacy efforts that strengthen global connections, encourage cooperation, and empower young people to become active global citizens.
This is one of the main reasons I am applying to this program. I would like to gain a deeper understanding of how public diplomacy operates in practice and how young people can contribute meaningfully to international dialogue and cooperation. I believe this experience will help me develop the knowledge, skills, and global perspective necessary to become a more effective advocate for intercultural understanding and youth engagement.</v>
      </c>
      <c r="AS1" s="55" t="str">
        <f>IFERROR(__xludf.DUMMYFUNCTION("""COMPUTED_VALUE"""),"Yes")</f>
        <v>Yes</v>
      </c>
      <c r="AT1" s="55" t="str">
        <f>IFERROR(__xludf.DUMMYFUNCTION("""COMPUTED_VALUE"""),"Yes")</f>
        <v>Yes</v>
      </c>
      <c r="AU1" s="55" t="str">
        <f>IFERROR(__xludf.DUMMYFUNCTION("""COMPUTED_VALUE"""),"International Public Service Relations")</f>
        <v>International Public Service Relations</v>
      </c>
      <c r="AV1" s="55" t="str">
        <f>IFERROR(__xludf.DUMMYFUNCTION("""COMPUTED_VALUE"""),"Im a YCDF Bali participant")</f>
        <v>Im a YCDF Bali participant</v>
      </c>
      <c r="AW1" s="55" t="str">
        <f>IFERROR(__xludf.DUMMYFUNCTION("""COMPUTED_VALUE"""),"Negotiations, Diplomacy, and International Institutions")</f>
        <v>Negotiations, Diplomacy, and International Institutions</v>
      </c>
      <c r="AX1" s="55" t="str">
        <f>IFERROR(__xludf.DUMMYFUNCTION("""COMPUTED_VALUE"""),"Yes")</f>
        <v>Yes</v>
      </c>
      <c r="AY1" s="60">
        <f>IFERROR(__xludf.DUMMYFUNCTION("""COMPUTED_VALUE"""),15.99)</f>
        <v>15.99</v>
      </c>
      <c r="AZ1" s="55"/>
      <c r="BA1" s="55"/>
      <c r="BB1" s="55"/>
      <c r="BC1" s="55"/>
      <c r="BD1" s="55"/>
      <c r="BE1" s="55"/>
      <c r="BF1" s="55"/>
      <c r="BG1" s="55"/>
      <c r="BH1" s="55"/>
      <c r="BI1" s="55"/>
      <c r="BJ1" s="55"/>
      <c r="BK1" s="55"/>
      <c r="BL1" s="55"/>
      <c r="BM1" s="55"/>
      <c r="BN1" s="55"/>
      <c r="BO1" s="55"/>
      <c r="BP1" s="55"/>
      <c r="BQ1" s="55"/>
      <c r="BR1" s="55"/>
    </row>
    <row r="2" ht="15.75" customHeight="1">
      <c r="A2" s="61" t="str">
        <f>IFERROR(__xludf.DUMMYFUNCTION("""COMPUTED_VALUE"""),"")</f>
        <v/>
      </c>
      <c r="B2" s="62">
        <f>IFERROR(__xludf.DUMMYFUNCTION("""COMPUTED_VALUE"""),6.0)</f>
        <v>6</v>
      </c>
      <c r="C2" s="61" t="str">
        <f>IFERROR(__xludf.DUMMYFUNCTION("""COMPUTED_VALUE"""),"Self")</f>
        <v>Self</v>
      </c>
      <c r="D2" s="63" t="str">
        <f>IFERROR(__xludf.DUMMYFUNCTION("""COMPUTED_VALUE"""),"Submitted")</f>
        <v>Submitted</v>
      </c>
      <c r="E2" s="63">
        <f>IFERROR(__xludf.DUMMYFUNCTION("""COMPUTED_VALUE"""),46143.12013888889)</f>
        <v>46143.12014</v>
      </c>
      <c r="F2" s="61" t="str">
        <f>IFERROR(__xludf.DUMMYFUNCTION("""COMPUTED_VALUE"""),"Henda Ragad")</f>
        <v>Henda Ragad</v>
      </c>
      <c r="G2" s="61" t="str">
        <f>IFERROR(__xludf.DUMMYFUNCTION("""COMPUTED_VALUE"""),"Henda Ragad")</f>
        <v>Henda Ragad</v>
      </c>
      <c r="H2" s="61" t="str">
        <f>IFERROR(__xludf.DUMMYFUNCTION("""COMPUTED_VALUE"""),"hindaraggad6@gmail.com")</f>
        <v>hindaraggad6@gmail.com</v>
      </c>
      <c r="I2" s="61" t="str">
        <f>IFERROR(__xludf.DUMMYFUNCTION("""COMPUTED_VALUE"""),"maherzare3@gmail.com")</f>
        <v>maherzare3@gmail.com</v>
      </c>
      <c r="J2" s="61" t="str">
        <f>IFERROR(__xludf.DUMMYFUNCTION("""COMPUTED_VALUE"""),"Jallel Bengerdan Mednine Tunisia, motmene, Tunisia")</f>
        <v>Jallel Bengerdan Mednine Tunisia, motmene, Tunisia</v>
      </c>
      <c r="K2" s="61" t="str">
        <f>IFERROR(__xludf.DUMMYFUNCTION("""COMPUTED_VALUE"""),"Tunisian")</f>
        <v>Tunisian</v>
      </c>
      <c r="L2" s="64" t="str">
        <f>IFERROR(__xludf.DUMMYFUNCTION("""COMPUTED_VALUE"""),"+21625178197")</f>
        <v>+21625178197</v>
      </c>
      <c r="M2" s="64">
        <f>IFERROR(__xludf.DUMMYFUNCTION("""COMPUTED_VALUE"""),37911.0)</f>
        <v>37911</v>
      </c>
      <c r="N2" s="61" t="str">
        <f>IFERROR(__xludf.DUMMYFUNCTION("""COMPUTED_VALUE"""),"1448403")</f>
        <v>1448403</v>
      </c>
      <c r="O2" s="61" t="str">
        <f>IFERROR(__xludf.DUMMYFUNCTION("""COMPUTED_VALUE"""),"+905364924056")</f>
        <v>+905364924056</v>
      </c>
      <c r="P2" s="61"/>
      <c r="Q2" s="61"/>
      <c r="R2" s="61"/>
      <c r="S2" s="61" t="str">
        <f>IFERROR(__xludf.DUMMYFUNCTION("""COMPUTED_VALUE"""),"IMG_3065.pdf")</f>
        <v>IMG_3065.pdf</v>
      </c>
      <c r="T2" s="61" t="str">
        <f>IFERROR(__xludf.DUMMYFUNCTION("""COMPUTED_VALUE"""),"Henda Ragad.pdf")</f>
        <v>Henda Ragad.pdf</v>
      </c>
      <c r="U2" s="61" t="str">
        <f>IFERROR(__xludf.DUMMYFUNCTION("""COMPUTED_VALUE"""),"Bachelor")</f>
        <v>Bachelor</v>
      </c>
      <c r="V2" s="61" t="str">
        <f>IFERROR(__xludf.DUMMYFUNCTION("""COMPUTED_VALUE"""),"Degree law")</f>
        <v>Degree law</v>
      </c>
      <c r="W2" s="61" t="str">
        <f>IFERROR(__xludf.DUMMYFUNCTION("""COMPUTED_VALUE"""),"Public law specilizqtion")</f>
        <v>Public law specilizqtion</v>
      </c>
      <c r="X2" s="61" t="str">
        <f>IFERROR(__xludf.DUMMYFUNCTION("""COMPUTED_VALUE"""),"Uni name : Faculty of law and political science of Sousse")</f>
        <v>Uni name : Faculty of law and political science of Sousse</v>
      </c>
      <c r="Y2" s="61" t="str">
        <f>IFERROR(__xludf.DUMMYFUNCTION("""COMPUTED_VALUE"""),"Yes")</f>
        <v>Yes</v>
      </c>
      <c r="Z2" s="61" t="str">
        <f>IFERROR(__xludf.DUMMYFUNCTION("""COMPUTED_VALUE"""),"Country of edu Tunisia")</f>
        <v>Country of edu Tunisia</v>
      </c>
      <c r="AA2" s="61" t="str">
        <f>IFERROR(__xludf.DUMMYFUNCTION("""COMPUTED_VALUE"""),"No")</f>
        <v>No</v>
      </c>
      <c r="AB2" s="61"/>
      <c r="AC2" s="61" t="str">
        <f>IFERROR(__xludf.DUMMYFUNCTION("""COMPUTED_VALUE"""),"Yes , in  international law")</f>
        <v>Yes , in  international law</v>
      </c>
      <c r="AD2" s="61" t="str">
        <f>IFERROR(__xludf.DUMMYFUNCTION("""COMPUTED_VALUE"""),"Aiesac Turkey")</f>
        <v>Aiesac Turkey</v>
      </c>
      <c r="AE2" s="65" t="str">
        <f>IFERROR(__xludf.DUMMYFUNCTION("""COMPUTED_VALUE"""),"https://aiesec.org.tr/")</f>
        <v>https://aiesec.org.tr/</v>
      </c>
      <c r="AF2" s="61" t="str">
        <f>IFERROR(__xludf.DUMMYFUNCTION("""COMPUTED_VALUE"""),"Volunteer")</f>
        <v>Volunteer</v>
      </c>
      <c r="AG2" s="61" t="str">
        <f>IFERROR(__xludf.DUMMYFUNCTION("""COMPUTED_VALUE"""),"2 months")</f>
        <v>2 months</v>
      </c>
      <c r="AH2" s="61" t="str">
        <f>IFERROR(__xludf.DUMMYFUNCTION("""COMPUTED_VALUE"""),"No")</f>
        <v>No</v>
      </c>
      <c r="AI2" s="61"/>
      <c r="AJ2" s="61" t="str">
        <f>IFERROR(__xludf.DUMMYFUNCTION("""COMPUTED_VALUE"""),"Founded organisation: Tunisian Red Cross")</f>
        <v>Founded organisation: Tunisian Red Cross</v>
      </c>
      <c r="AK2" s="61" t="str">
        <f>IFERROR(__xludf.DUMMYFUNCTION("""COMPUTED_VALUE"""),"The aim : charity")</f>
        <v>The aim : charity</v>
      </c>
      <c r="AL2" s="61" t="str">
        <f>IFERROR(__xludf.DUMMYFUNCTION("""COMPUTED_VALUE"""),"Legal advice")</f>
        <v>Legal advice</v>
      </c>
      <c r="AM2" s="61" t="str">
        <f>IFERROR(__xludf.DUMMYFUNCTION("""COMPUTED_VALUE"""),"certificate Hinda.pdf")</f>
        <v>certificate Hinda.pdf</v>
      </c>
      <c r="AN2" s="61" t="str">
        <f>IFERROR(__xludf.DUMMYFUNCTION("""COMPUTED_VALUE"""),"Yes, I have often thought about changing the world, particularly by promoting peace and cooperation between nations. As a Public Law student aspiring to become a diplomat, I have taken steps by deepening my understanding of international law, human rights"&amp;", and conflict resolution. I actively engage in discussions on global issues, encourage dialogue among peers, and promote tolerance and mutual respect. I also support initiatives that raise awareness about justice and equality. Though my actions are still"&amp;" at a personal level, they reflect my commitment to building a more peaceful world through diplomacy and lawful international cooperation.")</f>
        <v>Yes, I have often thought about changing the world, particularly by promoting peace and cooperation between nations. As a Public Law student aspiring to become a diplomat, I have taken steps by deepening my understanding of international law, human rights, and conflict resolution. I actively engage in discussions on global issues, encourage dialogue among peers, and promote tolerance and mutual respect. I also support initiatives that raise awareness about justice and equality. Though my actions are still at a personal level, they reflect my commitment to building a more peaceful world through diplomacy and lawful international cooperation.</v>
      </c>
      <c r="AO2" s="61" t="str">
        <f>IFERROR(__xludf.DUMMYFUNCTION("""COMPUTED_VALUE"""),"I believe Turkey is one of the most diplomatically significant countries in the world. Its unique geographic position between Europe and Asia allows it to act as a bridge between different cultures, political systems, and regions. Turkey plays an importan"&amp;"t role in international dialogue, conflict mediation, and regional stability. Diplomacy is a powerful tool because it relies on communication and peaceful negotiation rather than conflict. Through dialogue, countries can resolve disputes, build cooperatio"&amp;"n, and promote mutual understanding. For me, Turkey represents how strategic diplomacy can contribute to peace and global balance in an interconnected world.")</f>
        <v>I believe Turkey is one of the most diplomatically significant countries in the world. Its unique geographic position between Europe and Asia allows it to act as a bridge between different cultures, political systems, and regions. Turkey plays an important role in international dialogue, conflict mediation, and regional stability. Diplomacy is a powerful tool because it relies on communication and peaceful negotiation rather than conflict. Through dialogue, countries can resolve disputes, build cooperation, and promote mutual understanding. For me, Turkey represents how strategic diplomacy can contribute to peace and global balance in an interconnected world.</v>
      </c>
      <c r="AP2" s="61" t="str">
        <f>IFERROR(__xludf.DUMMYFUNCTION("""COMPUTED_VALUE"""),"Youth play a vital role in diplomacy by bringing fresh perspectives, creativity, and openness to dialogue in an increasingly interconnected world. Unlike traditional diplomacy, which is often limited to state actors, young people contribute through cross-"&amp;"cultural communication, social media engagement, and grassroots initiatives that build mutual understanding between societies. They act as bridges between cultures, challenging stereotypes and promoting tolerance. Importantly, youth can introduce new idea"&amp;"s and creative approaches through media, using digital platforms to share narratives, raise awareness, and influence global conversations in innovative ways.
I relate strongly to the idea of public diplomacy, as it emphasizes communication, dialogue, and"&amp;" people-to-people connections rather than formal negotiations alone. As a Public Law student aspiring to become a diplomat, I see public diplomacy as a powerful tool to influence perceptions, promote shared values, and encourage cooperation among nations."&amp;" Through academic engagement and active participation, I aim to contribute to a more peaceful and connected world.")</f>
        <v>Youth play a vital role in diplomacy by bringing fresh perspectives, creativity, and openness to dialogue in an increasingly interconnected world. Unlike traditional diplomacy, which is often limited to state actors, young people contribute through cross-cultural communication, social media engagement, and grassroots initiatives that build mutual understanding between societies. They act as bridges between cultures, challenging stereotypes and promoting tolerance. Importantly, youth can introduce new ideas and creative approaches through media, using digital platforms to share narratives, raise awareness, and influence global conversations in innovative ways.
I relate strongly to the idea of public diplomacy, as it emphasizes communication, dialogue, and people-to-people connections rather than formal negotiations alone. As a Public Law student aspiring to become a diplomat, I see public diplomacy as a powerful tool to influence perceptions, promote shared values, and encourage cooperation among nations. Through academic engagement and active participation, I aim to contribute to a more peaceful and connected world.</v>
      </c>
      <c r="AQ2" s="61" t="str">
        <f>IFERROR(__xludf.DUMMYFUNCTION("""COMPUTED_VALUE"""),"Passion is the inner drive that gives purpose to our actions and keeps us committed even when challenges arise. It is what transforms goals into meaningful pursuits rather than obligations. Passion helps me stay focused, motivated, and resilient, especial"&amp;"ly when working toward long-term ambitions like becoming a diplomat.
My passion is rooted in learning languages and exploring different cultures. I actively seek opportunities to communicate with people from diverse backgrounds, as this allows me to exch"&amp;"ange knowledge, understand perspectives, and build mutual respect. I also participate in summits and discussions where global issues are addressed, which strengthens my awareness and confidence in international dialogue. These experiences not only expand "&amp;"my skills but also reinforce my commitment to diplomacy. Through passion, I continuously grow, adapt, and move closer to achieving my goal of promoting peace and cooperation between nations.")</f>
        <v>Passion is the inner drive that gives purpose to our actions and keeps us committed even when challenges arise. It is what transforms goals into meaningful pursuits rather than obligations. Passion helps me stay focused, motivated, and resilient, especially when working toward long-term ambitions like becoming a diplomat.
My passion is rooted in learning languages and exploring different cultures. I actively seek opportunities to communicate with people from diverse backgrounds, as this allows me to exchange knowledge, understand perspectives, and build mutual respect. I also participate in summits and discussions where global issues are addressed, which strengthens my awareness and confidence in international dialogue. These experiences not only expand my skills but also reinforce my commitment to diplomacy. Through passion, I continuously grow, adapt, and move closer to achieving my goal of promoting peace and cooperation between nations.</v>
      </c>
      <c r="AR2" s="61" t="str">
        <f>IFERROR(__xludf.DUMMYFUNCTION("""COMPUTED_VALUE"""),"I believe creativity is essential in building an effective public diplomacy strategy. Through storytelling, cultural exchange, and digital media, I can communicate ideas in ways that resonate with different audiences. For example, I can design initiatives"&amp;" that highlight shared values, encourage dialogue, and promote mutual understanding. My background in volunteering has also taught me how to adapt messages to different cultural contexts, ensuring inclusivity and impact.
Additionally, I use social media "&amp;"as a tool to share perspectives, raise awareness, and connect people across borders. This allows me to contribute to diplomacy in a modern and accessible way.
I see myself one day contributing to international platforms such as United Nations, where I ca"&amp;"n apply my creativity and experience to promote peaceful cooperation and global dialogue.")</f>
        <v>I believe creativity is essential in building an effective public diplomacy strategy. Through storytelling, cultural exchange, and digital media, I can communicate ideas in ways that resonate with different audiences. For example, I can design initiatives that highlight shared values, encourage dialogue, and promote mutual understanding. My background in volunteering has also taught me how to adapt messages to different cultural contexts, ensuring inclusivity and impact.
Additionally, I use social media as a tool to share perspectives, raise awareness, and connect people across borders. This allows me to contribute to diplomacy in a modern and accessible way.
I see myself one day contributing to international platforms such as United Nations, where I can apply my creativity and experience to promote peaceful cooperation and global dialogue.</v>
      </c>
      <c r="AS2" s="61" t="str">
        <f>IFERROR(__xludf.DUMMYFUNCTION("""COMPUTED_VALUE"""),"Yes")</f>
        <v>Yes</v>
      </c>
      <c r="AT2" s="61" t="str">
        <f>IFERROR(__xludf.DUMMYFUNCTION("""COMPUTED_VALUE"""),"Yes")</f>
        <v>Yes</v>
      </c>
      <c r="AU2" s="61" t="str">
        <f>IFERROR(__xludf.DUMMYFUNCTION("""COMPUTED_VALUE"""),"Global Politics, Diplomacy &amp; Identities")</f>
        <v>Global Politics, Diplomacy &amp; Identities</v>
      </c>
      <c r="AV2" s="61" t="str">
        <f>IFERROR(__xludf.DUMMYFUNCTION("""COMPUTED_VALUE"""),"googel")</f>
        <v>googel</v>
      </c>
      <c r="AW2" s="61" t="str">
        <f>IFERROR(__xludf.DUMMYFUNCTION("""COMPUTED_VALUE"""),"Diplomacy in Middle East")</f>
        <v>Diplomacy in Middle East</v>
      </c>
      <c r="AX2" s="66" t="str">
        <f>IFERROR(__xludf.DUMMYFUNCTION("""COMPUTED_VALUE"""),"Yes")</f>
        <v>Yes</v>
      </c>
      <c r="AY2" s="66">
        <f>IFERROR(__xludf.DUMMYFUNCTION("""COMPUTED_VALUE"""),15.99)</f>
        <v>15.99</v>
      </c>
      <c r="AZ2" s="61"/>
      <c r="BA2" s="61"/>
      <c r="BB2" s="61"/>
      <c r="BC2" s="61"/>
      <c r="BD2" s="61"/>
      <c r="BE2" s="61"/>
      <c r="BF2" s="61"/>
      <c r="BG2" s="61"/>
      <c r="BH2" s="61"/>
      <c r="BI2" s="61"/>
      <c r="BJ2" s="61"/>
      <c r="BK2" s="61"/>
      <c r="BL2" s="61"/>
      <c r="BM2" s="61"/>
      <c r="BN2" s="61"/>
      <c r="BO2" s="61"/>
      <c r="BP2" s="61"/>
      <c r="BQ2" s="61"/>
      <c r="BR2" s="61"/>
    </row>
    <row r="3" ht="15.75" customHeight="1">
      <c r="A3" s="61" t="str">
        <f>IFERROR(__xludf.DUMMYFUNCTION("""COMPUTED_VALUE"""),"")</f>
        <v/>
      </c>
      <c r="B3" s="62">
        <f>IFERROR(__xludf.DUMMYFUNCTION("""COMPUTED_VALUE"""),8.0)</f>
        <v>8</v>
      </c>
      <c r="C3" s="61" t="str">
        <f>IFERROR(__xludf.DUMMYFUNCTION("""COMPUTED_VALUE"""),"Self")</f>
        <v>Self</v>
      </c>
      <c r="D3" s="63" t="str">
        <f>IFERROR(__xludf.DUMMYFUNCTION("""COMPUTED_VALUE"""),"Submitted")</f>
        <v>Submitted</v>
      </c>
      <c r="E3" s="63">
        <f>IFERROR(__xludf.DUMMYFUNCTION("""COMPUTED_VALUE"""),46160.94791666666)</f>
        <v>46160.94792</v>
      </c>
      <c r="F3" s="61" t="str">
        <f>IFERROR(__xludf.DUMMYFUNCTION("""COMPUTED_VALUE"""),"Ham Hab")</f>
        <v>Ham Hab</v>
      </c>
      <c r="G3" s="61" t="str">
        <f>IFERROR(__xludf.DUMMYFUNCTION("""COMPUTED_VALUE"""),"Ham Hab")</f>
        <v>Ham Hab</v>
      </c>
      <c r="H3" s="61" t="str">
        <f>IFERROR(__xludf.DUMMYFUNCTION("""COMPUTED_VALUE"""),"hamhab@gmail.com")</f>
        <v>hamhab@gmail.com</v>
      </c>
      <c r="I3" s="61" t="str">
        <f>IFERROR(__xludf.DUMMYFUNCTION("""COMPUTED_VALUE"""),"hamhab@gmail.com")</f>
        <v>hamhab@gmail.com</v>
      </c>
      <c r="J3" s="61"/>
      <c r="K3" s="61" t="str">
        <f>IFERROR(__xludf.DUMMYFUNCTION("""COMPUTED_VALUE"""),"Pakistani")</f>
        <v>Pakistani</v>
      </c>
      <c r="L3" s="64" t="str">
        <f>IFERROR(__xludf.DUMMYFUNCTION("""COMPUTED_VALUE"""),"0972645960")</f>
        <v>0972645960</v>
      </c>
      <c r="M3" s="64">
        <f>IFERROR(__xludf.DUMMYFUNCTION("""COMPUTED_VALUE"""),46169.0)</f>
        <v>46169</v>
      </c>
      <c r="N3" s="61" t="str">
        <f>IFERROR(__xludf.DUMMYFUNCTION("""COMPUTED_VALUE"""),"MN6786810")</f>
        <v>MN6786810</v>
      </c>
      <c r="O3" s="61" t="str">
        <f>IFERROR(__xludf.DUMMYFUNCTION("""COMPUTED_VALUE"""),"Leya")</f>
        <v>Leya</v>
      </c>
      <c r="P3" s="61"/>
      <c r="Q3" s="61"/>
      <c r="R3" s="61"/>
      <c r="S3" s="61" t="str">
        <f>IFERROR(__xludf.DUMMYFUNCTION("""COMPUTED_VALUE"""),"DSC03036 (4).jpg")</f>
        <v>DSC03036 (4).jpg</v>
      </c>
      <c r="T3" s="61" t="str">
        <f>IFERROR(__xludf.DUMMYFUNCTION("""COMPUTED_VALUE"""),"73.png")</f>
        <v>73.png</v>
      </c>
      <c r="U3" s="61" t="str">
        <f>IFERROR(__xludf.DUMMYFUNCTION("""COMPUTED_VALUE"""),"Masters")</f>
        <v>Masters</v>
      </c>
      <c r="V3" s="61" t="str">
        <f>IFERROR(__xludf.DUMMYFUNCTION("""COMPUTED_VALUE"""),"MA")</f>
        <v>MA</v>
      </c>
      <c r="W3" s="61"/>
      <c r="X3" s="61" t="str">
        <f>IFERROR(__xludf.DUMMYFUNCTION("""COMPUTED_VALUE"""),"AUD")</f>
        <v>AUD</v>
      </c>
      <c r="Y3" s="61" t="str">
        <f>IFERROR(__xludf.DUMMYFUNCTION("""COMPUTED_VALUE"""),"Yes")</f>
        <v>Yes</v>
      </c>
      <c r="Z3" s="61" t="str">
        <f>IFERROR(__xludf.DUMMYFUNCTION("""COMPUTED_VALUE"""),"UAE")</f>
        <v>UAE</v>
      </c>
      <c r="AA3" s="61" t="str">
        <f>IFERROR(__xludf.DUMMYFUNCTION("""COMPUTED_VALUE"""),"No")</f>
        <v>No</v>
      </c>
      <c r="AB3" s="61"/>
      <c r="AC3" s="61"/>
      <c r="AD3" s="61" t="str">
        <f>IFERROR(__xludf.DUMMYFUNCTION("""COMPUTED_VALUE"""),"CSCD")</f>
        <v>CSCD</v>
      </c>
      <c r="AE3" s="61"/>
      <c r="AF3" s="61"/>
      <c r="AG3" s="61"/>
      <c r="AH3" s="61" t="str">
        <f>IFERROR(__xludf.DUMMYFUNCTION("""COMPUTED_VALUE"""),"No")</f>
        <v>No</v>
      </c>
      <c r="AI3" s="61"/>
      <c r="AJ3" s="61"/>
      <c r="AK3" s="61"/>
      <c r="AL3" s="61"/>
      <c r="AM3" s="61" t="str">
        <f>IFERROR(__xludf.DUMMYFUNCTION("""COMPUTED_VALUE"""),"CV. Carlos García (Ingl) 2026.pdf")</f>
        <v>CV. Carlos García (Ingl) 2026.pdf</v>
      </c>
      <c r="AN3" s="61" t="str">
        <f>IFERROR(__xludf.DUMMYFUNCTION("""COMPUTED_VALUE"""),"Changing the world is a myth. I have given up.")</f>
        <v>Changing the world is a myth. I have given up.</v>
      </c>
      <c r="AO3" s="61" t="str">
        <f>IFERROR(__xludf.DUMMYFUNCTION("""COMPUTED_VALUE"""),"I think North Korea, but also Pluto is my next bet - invisible yet still in books.")</f>
        <v>I think North Korea, but also Pluto is my next bet - invisible yet still in books.</v>
      </c>
      <c r="AP3" s="61" t="str">
        <f>IFERROR(__xludf.DUMMYFUNCTION("""COMPUTED_VALUE"""),"Well, surviving the mess created by the generation preceding us, is, in itself, diplomacy's biggest feat.")</f>
        <v>Well, surviving the mess created by the generation preceding us, is, in itself, diplomacy's biggest feat.</v>
      </c>
      <c r="AQ3" s="61" t="str">
        <f>IFERROR(__xludf.DUMMYFUNCTION("""COMPUTED_VALUE"""),"Having passion is like imagining a butterfly with black wings flying in front of you on a bright sunny day in Beirut, while sitting in a cafe, would come and sit on your hand as if you a main character. No, you are not. Passion is imagination and wishful "&amp;"thinking.")</f>
        <v>Having passion is like imagining a butterfly with black wings flying in front of you on a bright sunny day in Beirut, while sitting in a cafe, would come and sit on your hand as if you a main character. No, you are not. Passion is imagination and wishful thinking.</v>
      </c>
      <c r="AR3" s="61" t="str">
        <f>IFERROR(__xludf.DUMMYFUNCTION("""COMPUTED_VALUE"""),"Well, I was born creative. Believe it or not. Ain")</f>
        <v>Well, I was born creative. Believe it or not. Ain</v>
      </c>
      <c r="AS3" s="61" t="str">
        <f>IFERROR(__xludf.DUMMYFUNCTION("""COMPUTED_VALUE"""),"Yes")</f>
        <v>Yes</v>
      </c>
      <c r="AT3" s="61" t="str">
        <f>IFERROR(__xludf.DUMMYFUNCTION("""COMPUTED_VALUE"""),"Yes")</f>
        <v>Yes</v>
      </c>
      <c r="AU3" s="61" t="str">
        <f>IFERROR(__xludf.DUMMYFUNCTION("""COMPUTED_VALUE"""),"Global Politics, Diplomacy &amp; Identities")</f>
        <v>Global Politics, Diplomacy &amp; Identities</v>
      </c>
      <c r="AV3" s="61" t="str">
        <f>IFERROR(__xludf.DUMMYFUNCTION("""COMPUTED_VALUE"""),"From insider circles")</f>
        <v>From insider circles</v>
      </c>
      <c r="AW3" s="61"/>
      <c r="AX3" s="66" t="str">
        <f>IFERROR(__xludf.DUMMYFUNCTION("""COMPUTED_VALUE"""),"Yes")</f>
        <v>Yes</v>
      </c>
      <c r="AY3" s="66">
        <f>IFERROR(__xludf.DUMMYFUNCTION("""COMPUTED_VALUE"""),15.99)</f>
        <v>15.99</v>
      </c>
      <c r="AZ3" s="61"/>
      <c r="BA3" s="61"/>
      <c r="BB3" s="61"/>
      <c r="BC3" s="61"/>
      <c r="BD3" s="61"/>
      <c r="BE3" s="61"/>
      <c r="BF3" s="61"/>
      <c r="BG3" s="61"/>
      <c r="BH3" s="61"/>
      <c r="BI3" s="61"/>
      <c r="BJ3" s="61"/>
      <c r="BK3" s="61"/>
      <c r="BL3" s="61"/>
      <c r="BM3" s="61"/>
      <c r="BN3" s="61"/>
      <c r="BO3" s="61"/>
      <c r="BP3" s="61"/>
      <c r="BQ3" s="61"/>
      <c r="BR3" s="61"/>
    </row>
    <row r="4" ht="15.75" customHeight="1">
      <c r="A4" s="61" t="str">
        <f>IFERROR(__xludf.DUMMYFUNCTION("""COMPUTED_VALUE"""),"")</f>
        <v/>
      </c>
      <c r="B4" s="62">
        <f>IFERROR(__xludf.DUMMYFUNCTION("""COMPUTED_VALUE"""),10.0)</f>
        <v>10</v>
      </c>
      <c r="C4" s="61" t="str">
        <f>IFERROR(__xludf.DUMMYFUNCTION("""COMPUTED_VALUE"""),"Self")</f>
        <v>Self</v>
      </c>
      <c r="D4" s="63" t="str">
        <f>IFERROR(__xludf.DUMMYFUNCTION("""COMPUTED_VALUE"""),"Submitted")</f>
        <v>Submitted</v>
      </c>
      <c r="E4" s="63">
        <f>IFERROR(__xludf.DUMMYFUNCTION("""COMPUTED_VALUE"""),46172.23958333334)</f>
        <v>46172.23958</v>
      </c>
      <c r="F4" s="61" t="str">
        <f>IFERROR(__xludf.DUMMYFUNCTION("""COMPUTED_VALUE"""),"Matthew Farrugia")</f>
        <v>Matthew Farrugia</v>
      </c>
      <c r="G4" s="61" t="str">
        <f>IFERROR(__xludf.DUMMYFUNCTION("""COMPUTED_VALUE"""),"Matthew Farrugia")</f>
        <v>Matthew Farrugia</v>
      </c>
      <c r="H4" s="61" t="str">
        <f>IFERROR(__xludf.DUMMYFUNCTION("""COMPUTED_VALUE"""),"matthewfarrugia2007@gmail.com")</f>
        <v>matthewfarrugia2007@gmail.com</v>
      </c>
      <c r="I4" s="61" t="str">
        <f>IFERROR(__xludf.DUMMYFUNCTION("""COMPUTED_VALUE"""),"mariafarrugia1977@hotmail.com")</f>
        <v>mariafarrugia1977@hotmail.com</v>
      </c>
      <c r="J4" s="61" t="str">
        <f>IFERROR(__xludf.DUMMYFUNCTION("""COMPUTED_VALUE"""),"31, Flat 6, Triq San Gwann Bosco, Isla, Malta")</f>
        <v>31, Flat 6, Triq San Gwann Bosco, Isla, Malta</v>
      </c>
      <c r="K4" s="61" t="str">
        <f>IFERROR(__xludf.DUMMYFUNCTION("""COMPUTED_VALUE"""),"Maltese")</f>
        <v>Maltese</v>
      </c>
      <c r="L4" s="64" t="str">
        <f>IFERROR(__xludf.DUMMYFUNCTION("""COMPUTED_VALUE"""),"+356 77034816")</f>
        <v>+356 77034816</v>
      </c>
      <c r="M4" s="64">
        <f>IFERROR(__xludf.DUMMYFUNCTION("""COMPUTED_VALUE"""),39203.0)</f>
        <v>39203</v>
      </c>
      <c r="N4" s="61" t="str">
        <f>IFERROR(__xludf.DUMMYFUNCTION("""COMPUTED_VALUE"""),"MT219455")</f>
        <v>MT219455</v>
      </c>
      <c r="O4" s="61" t="str">
        <f>IFERROR(__xludf.DUMMYFUNCTION("""COMPUTED_VALUE"""),"Maria Farrugia")</f>
        <v>Maria Farrugia</v>
      </c>
      <c r="P4" s="65" t="str">
        <f>IFERROR(__xludf.DUMMYFUNCTION("""COMPUTED_VALUE"""),"https://www.linkedin.com/in/matthew-farrugia-88589115b/")</f>
        <v>https://www.linkedin.com/in/matthew-farrugia-88589115b/</v>
      </c>
      <c r="Q4" s="65" t="str">
        <f>IFERROR(__xludf.DUMMYFUNCTION("""COMPUTED_VALUE"""),"https://www.instagram.com/_matthewfarrugia_/")</f>
        <v>https://www.instagram.com/_matthewfarrugia_/</v>
      </c>
      <c r="R4" s="65" t="str">
        <f>IFERROR(__xludf.DUMMYFUNCTION("""COMPUTED_VALUE"""),"https://www.facebook.com/matthew.farrugia.3994")</f>
        <v>https://www.facebook.com/matthew.farrugia.3994</v>
      </c>
      <c r="S4" s="61" t="str">
        <f>IFERROR(__xludf.DUMMYFUNCTION("""COMPUTED_VALUE"""),"WhatsApp Image 2026-02-24 at 11.04.07.jpeg")</f>
        <v>WhatsApp Image 2026-02-24 at 11.04.07.jpeg</v>
      </c>
      <c r="T4" s="61" t="str">
        <f>IFERROR(__xludf.DUMMYFUNCTION("""COMPUTED_VALUE"""),"29BF415F-8E7F-4F18-9566-01E42CB15162.png")</f>
        <v>29BF415F-8E7F-4F18-9566-01E42CB15162.png</v>
      </c>
      <c r="U4" s="61" t="str">
        <f>IFERROR(__xludf.DUMMYFUNCTION("""COMPUTED_VALUE"""),"Bachelors")</f>
        <v>Bachelors</v>
      </c>
      <c r="V4" s="61" t="str">
        <f>IFERROR(__xludf.DUMMYFUNCTION("""COMPUTED_VALUE"""),"N/A")</f>
        <v>N/A</v>
      </c>
      <c r="W4" s="61" t="str">
        <f>IFERROR(__xludf.DUMMYFUNCTION("""COMPUTED_VALUE"""),"Geosciences")</f>
        <v>Geosciences</v>
      </c>
      <c r="X4" s="61" t="str">
        <f>IFERROR(__xludf.DUMMYFUNCTION("""COMPUTED_VALUE"""),"University of Malta")</f>
        <v>University of Malta</v>
      </c>
      <c r="Y4" s="61" t="str">
        <f>IFERROR(__xludf.DUMMYFUNCTION("""COMPUTED_VALUE"""),"Yes")</f>
        <v>Yes</v>
      </c>
      <c r="Z4" s="61"/>
      <c r="AA4" s="61" t="str">
        <f>IFERROR(__xludf.DUMMYFUNCTION("""COMPUTED_VALUE"""),"No")</f>
        <v>No</v>
      </c>
      <c r="AB4" s="61"/>
      <c r="AC4" s="61"/>
      <c r="AD4" s="61" t="str">
        <f>IFERROR(__xludf.DUMMYFUNCTION("""COMPUTED_VALUE"""),"Malta UNESCO Youth Association")</f>
        <v>Malta UNESCO Youth Association</v>
      </c>
      <c r="AE4" s="65" t="str">
        <f>IFERROR(__xludf.DUMMYFUNCTION("""COMPUTED_VALUE"""),"http://www.muya.info")</f>
        <v>http://www.muya.info</v>
      </c>
      <c r="AF4" s="61" t="str">
        <f>IFERROR(__xludf.DUMMYFUNCTION("""COMPUTED_VALUE"""),"International Officer")</f>
        <v>International Officer</v>
      </c>
      <c r="AG4" s="61" t="str">
        <f>IFERROR(__xludf.DUMMYFUNCTION("""COMPUTED_VALUE"""),"1 Year")</f>
        <v>1 Year</v>
      </c>
      <c r="AH4" s="61" t="str">
        <f>IFERROR(__xludf.DUMMYFUNCTION("""COMPUTED_VALUE"""),"No")</f>
        <v>No</v>
      </c>
      <c r="AI4" s="61"/>
      <c r="AJ4" s="61" t="str">
        <f>IFERROR(__xludf.DUMMYFUNCTION("""COMPUTED_VALUE"""),"Yes, Clean &amp; Green")</f>
        <v>Yes, Clean &amp; Green</v>
      </c>
      <c r="AK4" s="61" t="str">
        <f>IFERROR(__xludf.DUMMYFUNCTION("""COMPUTED_VALUE"""),"To gather young people from the local community and raise awareness on detrimental issues climate change is causing to our homes with hands on events.")</f>
        <v>To gather young people from the local community and raise awareness on detrimental issues climate change is causing to our homes with hands on events.</v>
      </c>
      <c r="AL4" s="61" t="str">
        <f>IFERROR(__xludf.DUMMYFUNCTION("""COMPUTED_VALUE"""),"International Relations Research, Youth Leadership, Community Organising, Public Speaking.")</f>
        <v>International Relations Research, Youth Leadership, Community Organising, Public Speaking.</v>
      </c>
      <c r="AM4" s="61" t="str">
        <f>IFERROR(__xludf.DUMMYFUNCTION("""COMPUTED_VALUE"""),"Matthew Farrugia CV.pdf")</f>
        <v>Matthew Farrugia CV.pdf</v>
      </c>
      <c r="AN4" s="61" t="str">
        <f>IFERROR(__xludf.DUMMYFUNCTION("""COMPUTED_VALUE"""),"Yes, I have always believed in the philosophy of ""thinking globally, acting locally"" to drive meaningful global change. Driven by this vision, I founded a grassroots organisation called ""Clean and Green"" at just 13 years old to tackle environmental is"&amp;"sues within my local community. By organising local youth and spearheading sustainable initiatives, I saw firsthand how localised action can build the foundation for broader impact. Moving forward, I want to scale these experiences globally, leveraging in"&amp;"ternational platforms to collaborate across borders, exchange cultural strategies, and advocate for sustainable, youth-led transformations worldwide.")</f>
        <v>Yes, I have always believed in the philosophy of "thinking globally, acting locally" to drive meaningful global change. Driven by this vision, I founded a grassroots organisation called "Clean and Green" at just 13 years old to tackle environmental issues within my local community. By organising local youth and spearheading sustainable initiatives, I saw firsthand how localised action can build the foundation for broader impact. Moving forward, I want to scale these experiences globally, leveraging international platforms to collaborate across borders, exchange cultural strategies, and advocate for sustainable, youth-led transformations worldwide.</v>
      </c>
      <c r="AO4" s="61" t="str">
        <f>IFERROR(__xludf.DUMMYFUNCTION("""COMPUTED_VALUE"""),"Indonesia is currently one of the most diplomatically significant countries in the world. As the largest economy in Southeast Asia and a leading voice in ASEAN, it acts as a crucial geopolitical bridge between major global powers. Its foundational diploma"&amp;"tic philosophy of Bebas-Aktif (independent and active) allows it to maintain strategic neutrality while fostering multilateral cooperation. Furthermore, by hosting global forums like the G20 and now driving youth-led international dialogues, Indonesia exe"&amp;"mplifies how a developing nation can leverage soft power and cultural diplomacy to shape global policy and regional stability.")</f>
        <v>Indonesia is currently one of the most diplomatically significant countries in the world. As the largest economy in Southeast Asia and a leading voice in ASEAN, it acts as a crucial geopolitical bridge between major global powers. Its foundational diplomatic philosophy of Bebas-Aktif (independent and active) allows it to maintain strategic neutrality while fostering multilateral cooperation. Furthermore, by hosting global forums like the G20 and now driving youth-led international dialogues, Indonesia exemplifies how a developing nation can leverage soft power and cultural diplomacy to shape global policy and regional stability.</v>
      </c>
      <c r="AP4" s="61" t="str">
        <f>IFERROR(__xludf.DUMMYFUNCTION("""COMPUTED_VALUE"""),"Today, youth are no longer just passive observers of international relations; they are active architects of global dialogue. The role of youth in diplomacy lies in breaking down traditional institutional barriers through digital influence, grassroots move"&amp;"ments, and cross-cultural networks. Young people possess the unique ability to mobilize communities at a scale and speed never seen before, bringing fresh, uncompromised perspectives to global issues like climate change and social equity.
I deeply relate "&amp;"to the concept of public diplomacy because it focuses on building relationships directly between people rather than just governments. My experience founding ""Clean and Green"" was a lesson in public diplomacy at a community level, engaging everyday citiz"&amp;"ens to rally around a shared cause. In the digital age, public diplomacy is driven by narrative and authentic connection. I see myself as part of this shift, utilising digital storytelling and grassroots organising to foster mutual understanding across cu"&amp;"ltures. By connecting my local background with an international cohort, I aim to bridge cultural gaps and demonstrate how youth-driven, people-to-people engagement can influence global cooperation and build a more interconnected world.")</f>
        <v>Today, youth are no longer just passive observers of international relations; they are active architects of global dialogue. The role of youth in diplomacy lies in breaking down traditional institutional barriers through digital influence, grassroots movements, and cross-cultural networks. Young people possess the unique ability to mobilize communities at a scale and speed never seen before, bringing fresh, uncompromised perspectives to global issues like climate change and social equity.
I deeply relate to the concept of public diplomacy because it focuses on building relationships directly between people rather than just governments. My experience founding "Clean and Green" was a lesson in public diplomacy at a community level, engaging everyday citizens to rally around a shared cause. In the digital age, public diplomacy is driven by narrative and authentic connection. I see myself as part of this shift, utilising digital storytelling and grassroots organising to foster mutual understanding across cultures. By connecting my local background with an international cohort, I aim to bridge cultural gaps and demonstrate how youth-driven, people-to-people engagement can influence global cooperation and build a more interconnected world.</v>
      </c>
      <c r="AQ4" s="61" t="str">
        <f>IFERROR(__xludf.DUMMYFUNCTION("""COMPUTED_VALUE"""),"Passion is a deep, intrinsic desire for a cause or an activity that provides the emotional and mental drive transforming a simple task into a personal mission. It is the fuel that turns abstract vision into sustained action. When you are passionate about "&amp;"a goal, setbacks cease to be roadblocks; instead, they become problems waiting to be solved.
In my own journey, passion was the catalyst that allowed me to launch an organisation at a young age and keep it running for 5 years despite limited initial resou"&amp;"rces. It creates a sense of resilience and relentless focus, pushing me to learn new skills, seek out mentorship, and work through challenges. Ultimately, passion is infectious, it not only motivates me internally but also allows me to inspire and mobilis"&amp;"e others, making it an indispensable tool for achieving ambitious, long-term goals in leadership and diplomacy.")</f>
        <v>Passion is a deep, intrinsic desire for a cause or an activity that provides the emotional and mental drive transforming a simple task into a personal mission. It is the fuel that turns abstract vision into sustained action. When you are passionate about a goal, setbacks cease to be roadblocks; instead, they become problems waiting to be solved.
In my own journey, passion was the catalyst that allowed me to launch an organisation at a young age and keep it running for 5 years despite limited initial resources. It creates a sense of resilience and relentless focus, pushing me to learn new skills, seek out mentorship, and work through challenges. Ultimately, passion is infectious, it not only motivates me internally but also allows me to inspire and mobilise others, making it an indispensable tool for achieving ambitious, long-term goals in leadership and diplomacy.</v>
      </c>
      <c r="AR4" s="61" t="str">
        <f>IFERROR(__xludf.DUMMYFUNCTION("""COMPUTED_VALUE"""),"Yes, I consider myself a highly creative person, particularly in how I approach community mobilisation and communication. True creativity in public diplomacy isn't just about artistic expression; it is about finding innovative, unconventional ways to tell"&amp;" stories and bridge cultural divides where traditional diplomacy might stall.
To turn creativity into an effective public diplomacy strategy, I focus on two pillars: digital storytelling and experiential engagement. First, I would leverage digital media t"&amp;"o create compelling, visually driven narratives that humanize global issues, making complex geopolitical topics accessible and relatable to a diverse global youth audience. Second, I would design interactive digital campaigns and virtual exchange spaces t"&amp;"hat allow young leaders from different cultural backgrounds to collaborate on grassroots projects.
By taking the creative community-building tactics I developed with ""Clean and Green"", such as gamifying environmental action or using hyper-local digital "&amp;"advocacy, and scaling them internationally, we can build a dynamic strategy. This transforms passive audiences into active participants. Using creative, youth-centric media platforms ensures that public diplomacy becomes a two-way conversation that foster"&amp;"s genuine, long-lasting cultural empathy and international solidarity.")</f>
        <v>Yes, I consider myself a highly creative person, particularly in how I approach community mobilisation and communication. True creativity in public diplomacy isn't just about artistic expression; it is about finding innovative, unconventional ways to tell stories and bridge cultural divides where traditional diplomacy might stall.
To turn creativity into an effective public diplomacy strategy, I focus on two pillars: digital storytelling and experiential engagement. First, I would leverage digital media to create compelling, visually driven narratives that humanize global issues, making complex geopolitical topics accessible and relatable to a diverse global youth audience. Second, I would design interactive digital campaigns and virtual exchange spaces that allow young leaders from different cultural backgrounds to collaborate on grassroots projects.
By taking the creative community-building tactics I developed with "Clean and Green", such as gamifying environmental action or using hyper-local digital advocacy, and scaling them internationally, we can build a dynamic strategy. This transforms passive audiences into active participants. Using creative, youth-centric media platforms ensures that public diplomacy becomes a two-way conversation that fosters genuine, long-lasting cultural empathy and international solidarity.</v>
      </c>
      <c r="AS4" s="61" t="str">
        <f>IFERROR(__xludf.DUMMYFUNCTION("""COMPUTED_VALUE"""),"No")</f>
        <v>No</v>
      </c>
      <c r="AT4" s="61" t="str">
        <f>IFERROR(__xludf.DUMMYFUNCTION("""COMPUTED_VALUE"""),"Yes")</f>
        <v>Yes</v>
      </c>
      <c r="AU4" s="61" t="str">
        <f>IFERROR(__xludf.DUMMYFUNCTION("""COMPUTED_VALUE"""),"Global Politics, Diplomacy &amp; Identities")</f>
        <v>Global Politics, Diplomacy &amp; Identities</v>
      </c>
      <c r="AV4" s="61" t="str">
        <f>IFERROR(__xludf.DUMMYFUNCTION("""COMPUTED_VALUE"""),"Google Search and Social Media")</f>
        <v>Google Search and Social Media</v>
      </c>
      <c r="AW4" s="61"/>
      <c r="AX4" s="66" t="str">
        <f>IFERROR(__xludf.DUMMYFUNCTION("""COMPUTED_VALUE"""),"Yes")</f>
        <v>Yes</v>
      </c>
      <c r="AY4" s="66">
        <f>IFERROR(__xludf.DUMMYFUNCTION("""COMPUTED_VALUE"""),15.99)</f>
        <v>15.99</v>
      </c>
      <c r="AZ4" s="61"/>
      <c r="BA4" s="61"/>
      <c r="BB4" s="61"/>
      <c r="BC4" s="61"/>
      <c r="BD4" s="61"/>
      <c r="BE4" s="61"/>
      <c r="BF4" s="61"/>
      <c r="BG4" s="61"/>
      <c r="BH4" s="61"/>
      <c r="BI4" s="61"/>
      <c r="BJ4" s="61"/>
      <c r="BK4" s="61"/>
      <c r="BL4" s="61"/>
      <c r="BM4" s="61"/>
      <c r="BN4" s="61"/>
      <c r="BO4" s="61"/>
      <c r="BP4" s="61"/>
      <c r="BQ4" s="61"/>
      <c r="BR4" s="61"/>
    </row>
    <row r="5" ht="15.75" customHeight="1">
      <c r="A5" s="61" t="str">
        <f>IFERROR(__xludf.DUMMYFUNCTION("""COMPUTED_VALUE"""),"Self")</f>
        <v>Self</v>
      </c>
      <c r="B5" s="62">
        <f>IFERROR(__xludf.DUMMYFUNCTION("""COMPUTED_VALUE"""),11.0)</f>
        <v>11</v>
      </c>
      <c r="C5" s="61" t="str">
        <f>IFERROR(__xludf.DUMMYFUNCTION("""COMPUTED_VALUE"""),"Self")</f>
        <v>Self</v>
      </c>
      <c r="D5" s="63" t="str">
        <f>IFERROR(__xludf.DUMMYFUNCTION("""COMPUTED_VALUE"""),"Submitted")</f>
        <v>Submitted</v>
      </c>
      <c r="E5" s="63">
        <f>IFERROR(__xludf.DUMMYFUNCTION("""COMPUTED_VALUE"""),46172.28333333333)</f>
        <v>46172.28333</v>
      </c>
      <c r="F5" s="61" t="str">
        <f>IFERROR(__xludf.DUMMYFUNCTION("""COMPUTED_VALUE"""),"Mohd Rayyan Ansari")</f>
        <v>Mohd Rayyan Ansari</v>
      </c>
      <c r="G5" s="61" t="str">
        <f>IFERROR(__xludf.DUMMYFUNCTION("""COMPUTED_VALUE"""),"Mohd Rayyan Badruddin Ansari")</f>
        <v>Mohd Rayyan Badruddin Ansari</v>
      </c>
      <c r="H5" s="61" t="str">
        <f>IFERROR(__xludf.DUMMYFUNCTION("""COMPUTED_VALUE"""),"rayyanmohdansari@gmail.com")</f>
        <v>rayyanmohdansari@gmail.com</v>
      </c>
      <c r="I5" s="61" t="str">
        <f>IFERROR(__xludf.DUMMYFUNCTION("""COMPUTED_VALUE"""),"ansarirayyanmohd@gmail.com")</f>
        <v>ansarirayyanmohd@gmail.com</v>
      </c>
      <c r="J5" s="61" t="str">
        <f>IFERROR(__xludf.DUMMYFUNCTION("""COMPUTED_VALUE"""),"1096, Azad Nagar, Near Rahemat Pur Shaadi Hall, Shanti Nagar, Bhiwandi, India")</f>
        <v>1096, Azad Nagar, Near Rahemat Pur Shaadi Hall, Shanti Nagar, Bhiwandi, India</v>
      </c>
      <c r="K5" s="61" t="str">
        <f>IFERROR(__xludf.DUMMYFUNCTION("""COMPUTED_VALUE"""),"Indian")</f>
        <v>Indian</v>
      </c>
      <c r="L5" s="64" t="str">
        <f>IFERROR(__xludf.DUMMYFUNCTION("""COMPUTED_VALUE"""),"9011410721")</f>
        <v>9011410721</v>
      </c>
      <c r="M5" s="64">
        <f>IFERROR(__xludf.DUMMYFUNCTION("""COMPUTED_VALUE"""),35724.0)</f>
        <v>35724</v>
      </c>
      <c r="N5" s="61" t="str">
        <f>IFERROR(__xludf.DUMMYFUNCTION("""COMPUTED_VALUE"""),"U7213574")</f>
        <v>U7213574</v>
      </c>
      <c r="O5" s="61" t="str">
        <f>IFERROR(__xludf.DUMMYFUNCTION("""COMPUTED_VALUE"""),"9167764075")</f>
        <v>9167764075</v>
      </c>
      <c r="P5" s="61"/>
      <c r="Q5" s="61"/>
      <c r="R5" s="61"/>
      <c r="S5" s="61" t="str">
        <f>IFERROR(__xludf.DUMMYFUNCTION("""COMPUTED_VALUE"""),"image.png")</f>
        <v>image.png</v>
      </c>
      <c r="T5" s="61" t="str">
        <f>IFERROR(__xludf.DUMMYFUNCTION("""COMPUTED_VALUE"""),"b189c15a-4bce-47aa-a2f8-dcc72b4ad2ee.jpg")</f>
        <v>b189c15a-4bce-47aa-a2f8-dcc72b4ad2ee.jpg</v>
      </c>
      <c r="U5" s="61" t="str">
        <f>IFERROR(__xludf.DUMMYFUNCTION("""COMPUTED_VALUE"""),"Masters")</f>
        <v>Masters</v>
      </c>
      <c r="V5" s="61" t="str">
        <f>IFERROR(__xludf.DUMMYFUNCTION("""COMPUTED_VALUE"""),"MSc")</f>
        <v>MSc</v>
      </c>
      <c r="W5" s="61"/>
      <c r="X5" s="61" t="str">
        <f>IFERROR(__xludf.DUMMYFUNCTION("""COMPUTED_VALUE"""),"University Of Mumbai")</f>
        <v>University Of Mumbai</v>
      </c>
      <c r="Y5" s="61" t="str">
        <f>IFERROR(__xludf.DUMMYFUNCTION("""COMPUTED_VALUE"""),"No")</f>
        <v>No</v>
      </c>
      <c r="Z5" s="61" t="str">
        <f>IFERROR(__xludf.DUMMYFUNCTION("""COMPUTED_VALUE"""),"India")</f>
        <v>India</v>
      </c>
      <c r="AA5" s="61" t="str">
        <f>IFERROR(__xludf.DUMMYFUNCTION("""COMPUTED_VALUE"""),"No")</f>
        <v>No</v>
      </c>
      <c r="AB5" s="61"/>
      <c r="AC5" s="61" t="str">
        <f>IFERROR(__xludf.DUMMYFUNCTION("""COMPUTED_VALUE"""),"Yes")</f>
        <v>Yes</v>
      </c>
      <c r="AD5" s="61" t="str">
        <f>IFERROR(__xludf.DUMMYFUNCTION("""COMPUTED_VALUE"""),"Robinhood Army")</f>
        <v>Robinhood Army</v>
      </c>
      <c r="AE5" s="65" t="str">
        <f>IFERROR(__xludf.DUMMYFUNCTION("""COMPUTED_VALUE"""),"https://robinhoodarmy.com")</f>
        <v>https://robinhoodarmy.com</v>
      </c>
      <c r="AF5" s="61" t="str">
        <f>IFERROR(__xludf.DUMMYFUNCTION("""COMPUTED_VALUE"""),"Volunteer")</f>
        <v>Volunteer</v>
      </c>
      <c r="AG5" s="61" t="str">
        <f>IFERROR(__xludf.DUMMYFUNCTION("""COMPUTED_VALUE"""),"4")</f>
        <v>4</v>
      </c>
      <c r="AH5" s="61" t="str">
        <f>IFERROR(__xludf.DUMMYFUNCTION("""COMPUTED_VALUE"""),"Yes")</f>
        <v>Yes</v>
      </c>
      <c r="AI5" s="61" t="str">
        <f>IFERROR(__xludf.DUMMYFUNCTION("""COMPUTED_VALUE"""),"Senior Associate")</f>
        <v>Senior Associate</v>
      </c>
      <c r="AJ5" s="61" t="str">
        <f>IFERROR(__xludf.DUMMYFUNCTION("""COMPUTED_VALUE"""),"Yes, ""Maharashtra Youth Tech Forum""")</f>
        <v>Yes, "Maharashtra Youth Tech Forum"</v>
      </c>
      <c r="AK5" s="61" t="str">
        <f>IFERROR(__xludf.DUMMYFUNCTION("""COMPUTED_VALUE"""),"To bridge the digital divide by providing free, industry-aligned software engineering education to the youth of Maharashtra, transforming them into employable tech professionals who can compete in the global economy.")</f>
        <v>To bridge the digital divide by providing free, industry-aligned software engineering education to the youth of Maharashtra, transforming them into employable tech professionals who can compete in the global economy.</v>
      </c>
      <c r="AL5" s="61" t="str">
        <f>IFERROR(__xludf.DUMMYFUNCTION("""COMPUTED_VALUE"""),"Academic Researcher, Software Engineer, Global Outlook, Effective Communication, Leader of change")</f>
        <v>Academic Researcher, Software Engineer, Global Outlook, Effective Communication, Leader of change</v>
      </c>
      <c r="AM5" s="61" t="str">
        <f>IFERROR(__xludf.DUMMYFUNCTION("""COMPUTED_VALUE"""),"Deedy_CV (1).pdf")</f>
        <v>Deedy_CV (1).pdf</v>
      </c>
      <c r="AN5" s="61" t="str">
        <f>IFERROR(__xludf.DUMMYFUNCTION("""COMPUTED_VALUE"""),"Yes. I believe changing the world does not always begin with large institutions; it often starts by solving problems within one's own community. As a software engineer, I founded the Maharashtra Youth Tech Forum with the goal of making quality technology "&amp;"education accessible to students who lack industry exposure. Through mentorship, guidance, and practical learning resources, the initiative aims to reduce the gap between academic learning and real-world skills. Alongside this, I volunteered with the Robi"&amp;"nhood Army for several years, contributing to food distribution drives and community welfare efforts. These experiences taught me that meaningful impact begins with consistent action.")</f>
        <v>Yes. I believe changing the world does not always begin with large institutions; it often starts by solving problems within one's own community. As a software engineer, I founded the Maharashtra Youth Tech Forum with the goal of making quality technology education accessible to students who lack industry exposure. Through mentorship, guidance, and practical learning resources, the initiative aims to reduce the gap between academic learning and real-world skills. Alongside this, I volunteered with the Robinhood Army for several years, contributing to food distribution drives and community welfare efforts. These experiences taught me that meaningful impact begins with consistent action.</v>
      </c>
      <c r="AO5" s="61" t="str">
        <f>IFERROR(__xludf.DUMMYFUNCTION("""COMPUTED_VALUE"""),"I believe India is becoming one of the most diplomatically significant countries in the world. Its importance comes from a unique combination of demographic strength, economic growth, cultural influence, technological progress, and strategic geographic po"&amp;"sition. India maintains relationships with both Eastern and Western powers while continuing to advocate for dialogue, development, and global cooperation.
What makes India particularly important today is its ability to act as a bridge between developed a"&amp;"nd developing nations. Through initiatives in digital infrastructure, climate discussions, healthcare, and global partnerships, India is increasingly shaping international conversations. Its democratic framework and cultural diversity also strengthen its "&amp;"soft power across regions.
As the world moves toward a multipolar order, India’s balanced diplomacy and growing global influence make it a key actor in shaping the future of international relations.")</f>
        <v>I believe India is becoming one of the most diplomatically significant countries in the world. Its importance comes from a unique combination of demographic strength, economic growth, cultural influence, technological progress, and strategic geographic position. India maintains relationships with both Eastern and Western powers while continuing to advocate for dialogue, development, and global cooperation.
What makes India particularly important today is its ability to act as a bridge between developed and developing nations. Through initiatives in digital infrastructure, climate discussions, healthcare, and global partnerships, India is increasingly shaping international conversations. Its democratic framework and cultural diversity also strengthen its soft power across regions.
As the world moves toward a multipolar order, India’s balanced diplomacy and growing global influence make it a key actor in shaping the future of international relations.</v>
      </c>
      <c r="AP5" s="61" t="str">
        <f>IFERROR(__xludf.DUMMYFUNCTION("""COMPUTED_VALUE"""),"Youth play a critical role in diplomacy because they are often the first generation to experience global issues collectively. Whether it is climate change, artificial intelligence, migration, digital misinformation, or economic transformation, young peopl"&amp;"e are directly affected by decisions made across borders. Their perspectives help diplomacy remain relevant, future-oriented, and connected to societal realities.
I relate strongly to the idea of public diplomacy because much of my professional and person"&amp;"al work revolves around communication, technology, and community engagement. Public diplomacy is no longer limited to embassies and official meetings. Today, ideas travel through technology platforms, cultural exchange, entrepreneurship, education, and di"&amp;"gital communities.
As a software engineer, I have witnessed how technology can connect people from different regions and backgrounds. Through the Maharashtra Youth Tech Forum, I have worked with students from diverse communities and seen how knowledge-sha"&amp;"ring creates trust, opportunity, and collaboration. In many ways, that reflects the essence of public diplomacy: building understanding between people before building agreements between institutions.
I believe effective diplomacy in the 21st century requi"&amp;"res both policy knowledge and human connection. Young people bring creativity, adaptability, and digital fluency to this process, making them valuable contributors to international dialogue and cooperation.")</f>
        <v>Youth play a critical role in diplomacy because they are often the first generation to experience global issues collectively. Whether it is climate change, artificial intelligence, migration, digital misinformation, or economic transformation, young people are directly affected by decisions made across borders. Their perspectives help diplomacy remain relevant, future-oriented, and connected to societal realities.
I relate strongly to the idea of public diplomacy because much of my professional and personal work revolves around communication, technology, and community engagement. Public diplomacy is no longer limited to embassies and official meetings. Today, ideas travel through technology platforms, cultural exchange, entrepreneurship, education, and digital communities.
As a software engineer, I have witnessed how technology can connect people from different regions and backgrounds. Through the Maharashtra Youth Tech Forum, I have worked with students from diverse communities and seen how knowledge-sharing creates trust, opportunity, and collaboration. In many ways, that reflects the essence of public diplomacy: building understanding between people before building agreements between institutions.
I believe effective diplomacy in the 21st century requires both policy knowledge and human connection. Young people bring creativity, adaptability, and digital fluency to this process, making them valuable contributors to international dialogue and cooperation.</v>
      </c>
      <c r="AQ5" s="61" t="str">
        <f>IFERROR(__xludf.DUMMYFUNCTION("""COMPUTED_VALUE"""),"Passion is the ability to stay committed to something even when there is no immediate reward. It is the force that keeps a person moving forward through uncertainty, setbacks, and long learning curves. For me, passion has always been rooted in technology,"&amp;" learning, and building things that create value for others.
Coming from a technology background, many of the opportunities I have achieved were the result of continuous effort rather than talent alone. Passion made it easier to spend years improving my s"&amp;"kills, adapting to new technologies, and taking on challenges outside my comfort zone. It also motivated me to start initiatives that support others, such as mentoring students through youth-focused technology programs.
Goals often require patience and co"&amp;"nsistency. Passion provides both. It transforms discipline from an obligation into a choice and helps maintain focus during difficult periods. In my experience, passion is not merely enthusiasm; it is sustained commitment toward a purpose.")</f>
        <v>Passion is the ability to stay committed to something even when there is no immediate reward. It is the force that keeps a person moving forward through uncertainty, setbacks, and long learning curves. For me, passion has always been rooted in technology, learning, and building things that create value for others.
Coming from a technology background, many of the opportunities I have achieved were the result of continuous effort rather than talent alone. Passion made it easier to spend years improving my skills, adapting to new technologies, and taking on challenges outside my comfort zone. It also motivated me to start initiatives that support others, such as mentoring students through youth-focused technology programs.
Goals often require patience and consistency. Passion provides both. It transforms discipline from an obligation into a choice and helps maintain focus during difficult periods. In my experience, passion is not merely enthusiasm; it is sustained commitment toward a purpose.</v>
      </c>
      <c r="AR5" s="61" t="str">
        <f>IFERROR(__xludf.DUMMYFUNCTION("""COMPUTED_VALUE"""),"Yes, I consider myself a creative person, although not in the traditional artistic sense alone. Creativity, to me, is the ability to connect ideas, solve problems differently, and communicate complex concepts in ways that people can relate to. As a softwa"&amp;"re engineer, creativity is present in designing systems, building products, and finding practical solutions to challenges.
In public diplomacy, creativity is one of the most powerful tools available. Facts and policies are important, but people often conn"&amp;"ect through stories, experiences, and cultural understanding. Creative communication helps bridge differences between societies and makes international engagement more human and accessible.
For example, digital platforms, technology-driven storytelling, e"&amp;"ducational initiatives, cultural exchanges, and community projects can all become instruments of public diplomacy. A well-designed campaign can shape perceptions more effectively than formal statements. Similarly, technology can create spaces where people"&amp;" from different countries interact, collaborate, and learn from one another.
I believe creativity becomes an effective diplomacy strategy when it focuses on empathy and engagement. The objective is not simply to deliver information, but to build trust, en"&amp;"courage dialogue, and create lasting connections. In a world increasingly influenced by digital communication, creative approaches will continue to play a central role in strengthening international understanding.")</f>
        <v>Yes, I consider myself a creative person, although not in the traditional artistic sense alone. Creativity, to me, is the ability to connect ideas, solve problems differently, and communicate complex concepts in ways that people can relate to. As a software engineer, creativity is present in designing systems, building products, and finding practical solutions to challenges.
In public diplomacy, creativity is one of the most powerful tools available. Facts and policies are important, but people often connect through stories, experiences, and cultural understanding. Creative communication helps bridge differences between societies and makes international engagement more human and accessible.
For example, digital platforms, technology-driven storytelling, educational initiatives, cultural exchanges, and community projects can all become instruments of public diplomacy. A well-designed campaign can shape perceptions more effectively than formal statements. Similarly, technology can create spaces where people from different countries interact, collaborate, and learn from one another.
I believe creativity becomes an effective diplomacy strategy when it focuses on empathy and engagement. The objective is not simply to deliver information, but to build trust, encourage dialogue, and create lasting connections. In a world increasingly influenced by digital communication, creative approaches will continue to play a central role in strengthening international understanding.</v>
      </c>
      <c r="AS5" s="61" t="str">
        <f>IFERROR(__xludf.DUMMYFUNCTION("""COMPUTED_VALUE"""),"Yes")</f>
        <v>Yes</v>
      </c>
      <c r="AT5" s="61" t="str">
        <f>IFERROR(__xludf.DUMMYFUNCTION("""COMPUTED_VALUE"""),"Yes")</f>
        <v>Yes</v>
      </c>
      <c r="AU5" s="61" t="str">
        <f>IFERROR(__xludf.DUMMYFUNCTION("""COMPUTED_VALUE"""),"Global Politics, Diplomacy &amp; Identities")</f>
        <v>Global Politics, Diplomacy &amp; Identities</v>
      </c>
      <c r="AV5" s="61" t="str">
        <f>IFERROR(__xludf.DUMMYFUNCTION("""COMPUTED_VALUE"""),"During my Masters Research")</f>
        <v>During my Masters Research</v>
      </c>
      <c r="AW5" s="61"/>
      <c r="AX5" s="66" t="str">
        <f>IFERROR(__xludf.DUMMYFUNCTION("""COMPUTED_VALUE"""),"Yes")</f>
        <v>Yes</v>
      </c>
      <c r="AY5" s="66">
        <f>IFERROR(__xludf.DUMMYFUNCTION("""COMPUTED_VALUE"""),15.99)</f>
        <v>15.99</v>
      </c>
      <c r="AZ5" s="61"/>
      <c r="BA5" s="61"/>
      <c r="BB5" s="61"/>
      <c r="BC5" s="61"/>
      <c r="BD5" s="61"/>
      <c r="BE5" s="61"/>
      <c r="BF5" s="61"/>
      <c r="BG5" s="61"/>
      <c r="BH5" s="61"/>
      <c r="BI5" s="61"/>
      <c r="BJ5" s="61"/>
      <c r="BK5" s="61"/>
      <c r="BL5" s="61"/>
      <c r="BM5" s="61"/>
      <c r="BN5" s="61"/>
      <c r="BO5" s="61"/>
      <c r="BP5" s="61"/>
      <c r="BQ5" s="61"/>
      <c r="BR5" s="61"/>
    </row>
    <row r="6" ht="15.75" customHeight="1">
      <c r="A6" s="61" t="str">
        <f>IFERROR(__xludf.DUMMYFUNCTION("""COMPUTED_VALUE"""),"Alumni")</f>
        <v>Alumni</v>
      </c>
      <c r="B6" s="62">
        <f>IFERROR(__xludf.DUMMYFUNCTION("""COMPUTED_VALUE"""),12.0)</f>
        <v>12</v>
      </c>
      <c r="C6" s="61"/>
      <c r="D6" s="63" t="str">
        <f>IFERROR(__xludf.DUMMYFUNCTION("""COMPUTED_VALUE"""),"Submitted")</f>
        <v>Submitted</v>
      </c>
      <c r="E6" s="63">
        <f>IFERROR(__xludf.DUMMYFUNCTION("""COMPUTED_VALUE"""),46172.42430555556)</f>
        <v>46172.42431</v>
      </c>
      <c r="F6" s="61" t="str">
        <f>IFERROR(__xludf.DUMMYFUNCTION("""COMPUTED_VALUE"""),"Salma Ouhriz")</f>
        <v>Salma Ouhriz</v>
      </c>
      <c r="G6" s="61" t="str">
        <f>IFERROR(__xludf.DUMMYFUNCTION("""COMPUTED_VALUE"""),"Salma Ouhriz")</f>
        <v>Salma Ouhriz</v>
      </c>
      <c r="H6" s="61" t="str">
        <f>IFERROR(__xludf.DUMMYFUNCTION("""COMPUTED_VALUE"""),"salmaouhriz@gmail.com")</f>
        <v>salmaouhriz@gmail.com</v>
      </c>
      <c r="I6" s="61" t="str">
        <f>IFERROR(__xludf.DUMMYFUNCTION("""COMPUTED_VALUE"""),"salmaouhriz@gmail.com")</f>
        <v>salmaouhriz@gmail.com</v>
      </c>
      <c r="J6" s="61"/>
      <c r="K6" s="61" t="str">
        <f>IFERROR(__xludf.DUMMYFUNCTION("""COMPUTED_VALUE"""),"Morocco")</f>
        <v>Morocco</v>
      </c>
      <c r="L6" s="64" t="str">
        <f>IFERROR(__xludf.DUMMYFUNCTION("""COMPUTED_VALUE"""),"+8619863923269")</f>
        <v>+8619863923269</v>
      </c>
      <c r="M6" s="64">
        <f>IFERROR(__xludf.DUMMYFUNCTION("""COMPUTED_VALUE"""),37484.0)</f>
        <v>37484</v>
      </c>
      <c r="N6" s="61" t="str">
        <f>IFERROR(__xludf.DUMMYFUNCTION("""COMPUTED_VALUE"""),"QE6072012")</f>
        <v>QE6072012</v>
      </c>
      <c r="O6" s="61" t="str">
        <f>IFERROR(__xludf.DUMMYFUNCTION("""COMPUTED_VALUE"""),"+212633433101")</f>
        <v>+212633433101</v>
      </c>
      <c r="P6" s="61"/>
      <c r="Q6" s="65" t="str">
        <f>IFERROR(__xludf.DUMMYFUNCTION("""COMPUTED_VALUE"""),"https://www.instagram.com/salma.oz_")</f>
        <v>https://www.instagram.com/salma.oz_</v>
      </c>
      <c r="R6" s="61"/>
      <c r="S6" s="61" t="str">
        <f>IFERROR(__xludf.DUMMYFUNCTION("""COMPUTED_VALUE"""),"Passport.pdf")</f>
        <v>Passport.pdf</v>
      </c>
      <c r="T6" s="61" t="str">
        <f>IFERROR(__xludf.DUMMYFUNCTION("""COMPUTED_VALUE"""),"1859577252b4786ff354b8b976791776.jpeg")</f>
        <v>1859577252b4786ff354b8b976791776.jpeg</v>
      </c>
      <c r="U6" s="61" t="str">
        <f>IFERROR(__xludf.DUMMYFUNCTION("""COMPUTED_VALUE"""),"Bachelor")</f>
        <v>Bachelor</v>
      </c>
      <c r="V6" s="61" t="str">
        <f>IFERROR(__xludf.DUMMYFUNCTION("""COMPUTED_VALUE"""),"Undergraduate degree")</f>
        <v>Undergraduate degree</v>
      </c>
      <c r="W6" s="61" t="str">
        <f>IFERROR(__xludf.DUMMYFUNCTION("""COMPUTED_VALUE"""),"International economics and trade")</f>
        <v>International economics and trade</v>
      </c>
      <c r="X6" s="61" t="str">
        <f>IFERROR(__xludf.DUMMYFUNCTION("""COMPUTED_VALUE"""),"Linyi University")</f>
        <v>Linyi University</v>
      </c>
      <c r="Y6" s="61" t="str">
        <f>IFERROR(__xludf.DUMMYFUNCTION("""COMPUTED_VALUE"""),"No")</f>
        <v>No</v>
      </c>
      <c r="Z6" s="61" t="str">
        <f>IFERROR(__xludf.DUMMYFUNCTION("""COMPUTED_VALUE"""),"China mainland")</f>
        <v>China mainland</v>
      </c>
      <c r="AA6" s="61" t="str">
        <f>IFERROR(__xludf.DUMMYFUNCTION("""COMPUTED_VALUE"""),"No")</f>
        <v>No</v>
      </c>
      <c r="AB6" s="61"/>
      <c r="AC6" s="61" t="str">
        <f>IFERROR(__xludf.DUMMYFUNCTION("""COMPUTED_VALUE"""),"Yes, Yes. During my Bachelor’s degree in International Business and Trade, I conducted a thesis research project analyzing the positive and negative impacts of Chinese Foreign Direct Investment (FDI) in Morocco.")</f>
        <v>Yes, Yes. During my Bachelor’s degree in International Business and Trade, I conducted a thesis research project analyzing the positive and negative impacts of Chinese Foreign Direct Investment (FDI) in Morocco.</v>
      </c>
      <c r="AD6" s="61" t="str">
        <f>IFERROR(__xludf.DUMMYFUNCTION("""COMPUTED_VALUE"""),"Yes, 临沂爱之旅康复医院, I volunteered at a children’s hospital supporting children with special needs.")</f>
        <v>Yes, 临沂爱之旅康复医院, I volunteered at a children’s hospital supporting children with special needs.</v>
      </c>
      <c r="AE6" s="61"/>
      <c r="AF6" s="61"/>
      <c r="AG6" s="61"/>
      <c r="AH6" s="61" t="str">
        <f>IFERROR(__xludf.DUMMYFUNCTION("""COMPUTED_VALUE"""),"No")</f>
        <v>No</v>
      </c>
      <c r="AI6" s="61"/>
      <c r="AJ6" s="61" t="str">
        <f>IFERROR(__xludf.DUMMYFUNCTION("""COMPUTED_VALUE"""),"Yes , WhatsApp community, sharing opportunities for Moroccans youth.")</f>
        <v>Yes , WhatsApp community, sharing opportunities for Moroccans youth.</v>
      </c>
      <c r="AK6" s="61" t="str">
        <f>IFERROR(__xludf.DUMMYFUNCTION("""COMPUTED_VALUE"""),"To connect young people with educational, cultural, leadership, and international opportunities. The initiative aims to help youth access scholarships, exchange programs and Conferences")</f>
        <v>To connect young people with educational, cultural, leadership, and international opportunities. The initiative aims to help youth access scholarships, exchange programs and Conferences</v>
      </c>
      <c r="AL6" s="61" t="str">
        <f>IFERROR(__xludf.DUMMYFUNCTION("""COMPUTED_VALUE"""),"Research , sports, negotiation, cross-cultural teamwork")</f>
        <v>Research , sports, negotiation, cross-cultural teamwork</v>
      </c>
      <c r="AM6" s="61" t="str">
        <f>IFERROR(__xludf.DUMMYFUNCTION("""COMPUTED_VALUE"""),"CV.pdf")</f>
        <v>CV.pdf</v>
      </c>
      <c r="AN6" s="61" t="str">
        <f>IFERROR(__xludf.DUMMYFUNCTION("""COMPUTED_VALUE"""),"Yes, I believe meaningful change begins with small actions. In my personal capacity, I have volunteered with children with special needs, spending time supporting and encouraging them. I have also actively shared information about scholarships, youth prog"&amp;"rams, cultural exchanges, and leadership opportunities with young people, helping them access resources that can transform their futures. Through my studies in China and my research on China–Morocco relations, I have sought to promote intercultural unders"&amp;"tanding and global awareness. While these actions may seem small, I believe empowering individuals and connecting people across cultures contributes to positive and lasting change.")</f>
        <v>Yes, I believe meaningful change begins with small actions. In my personal capacity, I have volunteered with children with special needs, spending time supporting and encouraging them. I have also actively shared information about scholarships, youth programs, cultural exchanges, and leadership opportunities with young people, helping them access resources that can transform their futures. Through my studies in China and my research on China–Morocco relations, I have sought to promote intercultural understanding and global awareness. While these actions may seem small, I believe empowering individuals and connecting people across cultures contributes to positive and lasting change.</v>
      </c>
      <c r="AO6" s="61" t="str">
        <f>IFERROR(__xludf.DUMMYFUNCTION("""COMPUTED_VALUE"""),"I believe no single country is the most diplomatically significant, as diplomacy depends on cooperation among nations. Having studied in China, I have witnessed how educational exchanges, trade cooperation, and cultural engagement can strengthen relations"&amp;"hips between countries. At the same time, organizations such as the United Nations demonstrate that global challenges require collective action. Effective diplomacy is not about the power of one nation but about building dialogue, trust, and cooperation a"&amp;"mong many nations.")</f>
        <v>I believe no single country is the most diplomatically significant, as diplomacy depends on cooperation among nations. Having studied in China, I have witnessed how educational exchanges, trade cooperation, and cultural engagement can strengthen relationships between countries. At the same time, organizations such as the United Nations demonstrate that global challenges require collective action. Effective diplomacy is not about the power of one nation but about building dialogue, trust, and cooperation among many nations.</v>
      </c>
      <c r="AP6" s="61" t="str">
        <f>IFERROR(__xludf.DUMMYFUNCTION("""COMPUTED_VALUE"""),"Youth play a vital role in diplomacy because they bring new perspectives, creativity, and a willingness to engage across cultural boundaries. In today’s interconnected world, diplomacy is no longer limited to governments and diplomats. Young people contri"&amp;"bute through education, cultural exchange, social media, entrepreneurship, and international cooperation.
I relate strongly to the concept of public diplomacy because my own experiences have shown me the value of people-to-people connections. As a Morocca"&amp;"n who studied in China, I have experienced different cultures firsthand and learned how dialogue can overcome misunderstandings and stereotypes. Through sharing opportunities and encouraging international engagement among young people, I aim to build brid"&amp;"ges between communities and promote mutual understanding.
Public diplomacy allows ordinary citizens to become ambassadors of their cultures and values. I believe that every interaction between people from different backgrounds can contribute to stronger i"&amp;"nternational relationships. By participating in international programs and engaging with diverse communities, I hope to continue fostering intercultural understanding and encouraging young people to become active contributors to global cooperation and pea"&amp;"ce.")</f>
        <v>Youth play a vital role in diplomacy because they bring new perspectives, creativity, and a willingness to engage across cultural boundaries. In today’s interconnected world, diplomacy is no longer limited to governments and diplomats. Young people contribute through education, cultural exchange, social media, entrepreneurship, and international cooperation.
I relate strongly to the concept of public diplomacy because my own experiences have shown me the value of people-to-people connections. As a Moroccan who studied in China, I have experienced different cultures firsthand and learned how dialogue can overcome misunderstandings and stereotypes. Through sharing opportunities and encouraging international engagement among young people, I aim to build bridges between communities and promote mutual understanding.
Public diplomacy allows ordinary citizens to become ambassadors of their cultures and values. I believe that every interaction between people from different backgrounds can contribute to stronger international relationships. By participating in international programs and engaging with diverse communities, I hope to continue fostering intercultural understanding and encouraging young people to become active contributors to global cooperation and peace.</v>
      </c>
      <c r="AQ6" s="61" t="str">
        <f>IFERROR(__xludf.DUMMYFUNCTION("""COMPUTED_VALUE"""),"Passion is the inner motivation that drives individuals to keep learning, growing, and pursuing their goals despite challenges. For me, passion comes from my curiosity about different cultures, international cooperation, and creating opportunities for you"&amp;"ng people. It motivates me to seek new experiences, conduct research, participate in international programs, and continuously improve my skills.
So Passion helps me remain focused during difficult situations and encourages me to view challenges as opportu"&amp;"nities for growth. It has guided my academic journey, including my research on China–Morocco economic relations, and continues to inspire my involvement in youth development and cross-cultural initiatives. I believe that passion transforms goals into mean"&amp;"ingful actions and enables individuals to make a positive contribution to society.")</f>
        <v>Passion is the inner motivation that drives individuals to keep learning, growing, and pursuing their goals despite challenges. For me, passion comes from my curiosity about different cultures, international cooperation, and creating opportunities for young people. It motivates me to seek new experiences, conduct research, participate in international programs, and continuously improve my skills.
So Passion helps me remain focused during difficult situations and encourages me to view challenges as opportunities for growth. It has guided my academic journey, including my research on China–Morocco economic relations, and continues to inspire my involvement in youth development and cross-cultural initiatives. I believe that passion transforms goals into meaningful actions and enables individuals to make a positive contribution to society.</v>
      </c>
      <c r="AR6" s="61" t="str">
        <f>IFERROR(__xludf.DUMMYFUNCTION("""COMPUTED_VALUE"""),"Yes, I consider myself a creative person because I enjoy finding innovative ways to connect people, share ideas, and solve problems. Creativity is an essential tool in public diplomacy because it helps communicate complex messages in ways that are engagin"&amp;"g, relatable, and culturally sensitive.
I believe creativity can be used to promote international understanding through storytelling, digital content, cultural exchange initiatives, and youth-led projects. For example, social media platforms can be used t"&amp;"o share personal experiences, educational opportunities, and cultural insights that encourage dialogue between people from different backgrounds. Creative campaigns can also highlight common values and foster mutual respect among communities.
I understand"&amp;" the importance of presenting information in ways that inspire curiosity and empathy. By combining creativity with communication, technology, and intercultural understanding, I hope to contribute to public diplomacy efforts that strengthen global connecti"&amp;"ons, encourage cooperation, and empower young people to become active global citizens.
This is one of the main reasons I am applying to this program. I would like to gain a deeper understanding of how public diplomacy operates in practice and how young p"&amp;"eople can contribute meaningfully to international dialogue and cooperation. I believe this experience will help me develop the knowledge, skills, and global perspective necessary to become a more effective advocate for intercultural understanding and you"&amp;"th engagement.")</f>
        <v>Yes, I consider myself a creative person because I enjoy finding innovative ways to connect people, share ideas, and solve problems. Creativity is an essential tool in public diplomacy because it helps communicate complex messages in ways that are engaging, relatable, and culturally sensitive.
I believe creativity can be used to promote international understanding through storytelling, digital content, cultural exchange initiatives, and youth-led projects. For example, social media platforms can be used to share personal experiences, educational opportunities, and cultural insights that encourage dialogue between people from different backgrounds. Creative campaigns can also highlight common values and foster mutual respect among communities.
I understand the importance of presenting information in ways that inspire curiosity and empathy. By combining creativity with communication, technology, and intercultural understanding, I hope to contribute to public diplomacy efforts that strengthen global connections, encourage cooperation, and empower young people to become active global citizens.
This is one of the main reasons I am applying to this program. I would like to gain a deeper understanding of how public diplomacy operates in practice and how young people can contribute meaningfully to international dialogue and cooperation. I believe this experience will help me develop the knowledge, skills, and global perspective necessary to become a more effective advocate for intercultural understanding and youth engagement.</v>
      </c>
      <c r="AS6" s="61" t="str">
        <f>IFERROR(__xludf.DUMMYFUNCTION("""COMPUTED_VALUE"""),"Yes")</f>
        <v>Yes</v>
      </c>
      <c r="AT6" s="61" t="str">
        <f>IFERROR(__xludf.DUMMYFUNCTION("""COMPUTED_VALUE"""),"Yes")</f>
        <v>Yes</v>
      </c>
      <c r="AU6" s="61" t="str">
        <f>IFERROR(__xludf.DUMMYFUNCTION("""COMPUTED_VALUE"""),"International Public Service Relations")</f>
        <v>International Public Service Relations</v>
      </c>
      <c r="AV6" s="61" t="str">
        <f>IFERROR(__xludf.DUMMYFUNCTION("""COMPUTED_VALUE"""),"Im a YCDF Bali participant")</f>
        <v>Im a YCDF Bali participant</v>
      </c>
      <c r="AW6" s="61" t="str">
        <f>IFERROR(__xludf.DUMMYFUNCTION("""COMPUTED_VALUE"""),"Negotiations, Diplomacy, and International Institutions")</f>
        <v>Negotiations, Diplomacy, and International Institutions</v>
      </c>
      <c r="AX6" s="66" t="str">
        <f>IFERROR(__xludf.DUMMYFUNCTION("""COMPUTED_VALUE"""),"Yes")</f>
        <v>Yes</v>
      </c>
      <c r="AY6" s="66">
        <f>IFERROR(__xludf.DUMMYFUNCTION("""COMPUTED_VALUE"""),15.99)</f>
        <v>15.99</v>
      </c>
      <c r="AZ6" s="61"/>
      <c r="BA6" s="61"/>
      <c r="BB6" s="61"/>
      <c r="BC6" s="61"/>
      <c r="BD6" s="61"/>
      <c r="BE6" s="61"/>
      <c r="BF6" s="61"/>
      <c r="BG6" s="61"/>
      <c r="BH6" s="61"/>
      <c r="BI6" s="61"/>
      <c r="BJ6" s="61"/>
      <c r="BK6" s="61"/>
      <c r="BL6" s="61"/>
      <c r="BM6" s="61"/>
      <c r="BN6" s="61"/>
      <c r="BO6" s="61"/>
      <c r="BP6" s="61"/>
      <c r="BQ6" s="61"/>
      <c r="BR6" s="61"/>
    </row>
    <row r="7" ht="15.75" customHeight="1">
      <c r="A7" s="61" t="str">
        <f>IFERROR(__xludf.DUMMYFUNCTION("""COMPUTED_VALUE"""),"Self")</f>
        <v>Self</v>
      </c>
      <c r="B7" s="62">
        <f>IFERROR(__xludf.DUMMYFUNCTION("""COMPUTED_VALUE"""),13.0)</f>
        <v>13</v>
      </c>
      <c r="C7" s="61" t="str">
        <f>IFERROR(__xludf.DUMMYFUNCTION("""COMPUTED_VALUE"""),"Self")</f>
        <v>Self</v>
      </c>
      <c r="D7" s="63" t="str">
        <f>IFERROR(__xludf.DUMMYFUNCTION("""COMPUTED_VALUE"""),"Submitted")</f>
        <v>Submitted</v>
      </c>
      <c r="E7" s="63">
        <f>IFERROR(__xludf.DUMMYFUNCTION("""COMPUTED_VALUE"""),46172.49930555555)</f>
        <v>46172.49931</v>
      </c>
      <c r="F7" s="61" t="str">
        <f>IFERROR(__xludf.DUMMYFUNCTION("""COMPUTED_VALUE"""),"junior grace kevine doumbou de barro")</f>
        <v>junior grace kevine doumbou de barro</v>
      </c>
      <c r="G7" s="61" t="str">
        <f>IFERROR(__xludf.DUMMYFUNCTION("""COMPUTED_VALUE"""),"Junior grace kevine doumbou de barro")</f>
        <v>Junior grace kevine doumbou de barro</v>
      </c>
      <c r="H7" s="61" t="str">
        <f>IFERROR(__xludf.DUMMYFUNCTION("""COMPUTED_VALUE"""),"juniorbarro8@gmail.com")</f>
        <v>juniorbarro8@gmail.com</v>
      </c>
      <c r="I7" s="61" t="str">
        <f>IFERROR(__xludf.DUMMYFUNCTION("""COMPUTED_VALUE"""),"kevinedebarro@gmail.com")</f>
        <v>kevinedebarro@gmail.com</v>
      </c>
      <c r="J7" s="61" t="str">
        <f>IFERROR(__xludf.DUMMYFUNCTION("""COMPUTED_VALUE"""),"Fatih MAH. 885. SK. NO: 1/4 istanbul, Istanbul, Türkiye")</f>
        <v>Fatih MAH. 885. SK. NO: 1/4 istanbul, Istanbul, Türkiye</v>
      </c>
      <c r="K7" s="61" t="str">
        <f>IFERROR(__xludf.DUMMYFUNCTION("""COMPUTED_VALUE"""),"Congolese")</f>
        <v>Congolese</v>
      </c>
      <c r="L7" s="64" t="str">
        <f>IFERROR(__xludf.DUMMYFUNCTION("""COMPUTED_VALUE"""),"+905353480709")</f>
        <v>+905353480709</v>
      </c>
      <c r="M7" s="64">
        <f>IFERROR(__xludf.DUMMYFUNCTION("""COMPUTED_VALUE"""),36150.0)</f>
        <v>36150</v>
      </c>
      <c r="N7" s="61" t="str">
        <f>IFERROR(__xludf.DUMMYFUNCTION("""COMPUTED_VALUE"""),"OA0615263")</f>
        <v>OA0615263</v>
      </c>
      <c r="O7" s="61" t="str">
        <f>IFERROR(__xludf.DUMMYFUNCTION("""COMPUTED_VALUE"""),"+90 (546) 188 98 30")</f>
        <v>+90 (546) 188 98 30</v>
      </c>
      <c r="P7" s="65" t="str">
        <f>IFERROR(__xludf.DUMMYFUNCTION("""COMPUTED_VALUE"""),"https://www.linkedin.com/in/junior-grace-kevine-doumbou-de-barro-0306751a9?utm_source=share_via&amp;utm_content=profile&amp;utm_medium=member_ios")</f>
        <v>https://www.linkedin.com/in/junior-grace-kevine-doumbou-de-barro-0306751a9?utm_source=share_via&amp;utm_content=profile&amp;utm_medium=member_ios</v>
      </c>
      <c r="Q7" s="65" t="str">
        <f>IFERROR(__xludf.DUMMYFUNCTION("""COMPUTED_VALUE"""),"https://www.instagram.com/chotay_jdb?igsh=dnE1MHA1czlqZG56&amp;utm_source=qr")</f>
        <v>https://www.instagram.com/chotay_jdb?igsh=dnE1MHA1czlqZG56&amp;utm_source=qr</v>
      </c>
      <c r="R7" s="65" t="str">
        <f>IFERROR(__xludf.DUMMYFUNCTION("""COMPUTED_VALUE"""),"https://www.facebook.com/share/19zrPJ5oKP/?mibextid=wwXIfr")</f>
        <v>https://www.facebook.com/share/19zrPJ5oKP/?mibextid=wwXIfr</v>
      </c>
      <c r="S7" s="61" t="str">
        <f>IFERROR(__xludf.DUMMYFUNCTION("""COMPUTED_VALUE"""),"passeport-juniorNew.pdf")</f>
        <v>passeport-juniorNew.pdf</v>
      </c>
      <c r="T7" s="61" t="str">
        <f>IFERROR(__xludf.DUMMYFUNCTION("""COMPUTED_VALUE"""),"IMG_0704.jpeg")</f>
        <v>IMG_0704.jpeg</v>
      </c>
      <c r="U7" s="61" t="str">
        <f>IFERROR(__xludf.DUMMYFUNCTION("""COMPUTED_VALUE"""),"Master")</f>
        <v>Master</v>
      </c>
      <c r="V7" s="61" t="str">
        <f>IFERROR(__xludf.DUMMYFUNCTION("""COMPUTED_VALUE"""),"Business administration")</f>
        <v>Business administration</v>
      </c>
      <c r="W7" s="61"/>
      <c r="X7" s="61" t="str">
        <f>IFERROR(__xludf.DUMMYFUNCTION("""COMPUTED_VALUE"""),"Gelişim university")</f>
        <v>Gelişim university</v>
      </c>
      <c r="Y7" s="61" t="str">
        <f>IFERROR(__xludf.DUMMYFUNCTION("""COMPUTED_VALUE"""),"Yes")</f>
        <v>Yes</v>
      </c>
      <c r="Z7" s="61" t="str">
        <f>IFERROR(__xludf.DUMMYFUNCTION("""COMPUTED_VALUE"""),"Türkiye")</f>
        <v>Türkiye</v>
      </c>
      <c r="AA7" s="61" t="str">
        <f>IFERROR(__xludf.DUMMYFUNCTION("""COMPUTED_VALUE"""),"No")</f>
        <v>No</v>
      </c>
      <c r="AB7" s="61"/>
      <c r="AC7" s="61"/>
      <c r="AD7" s="61" t="str">
        <f>IFERROR(__xludf.DUMMYFUNCTION("""COMPUTED_VALUE"""),"No")</f>
        <v>No</v>
      </c>
      <c r="AE7" s="61"/>
      <c r="AF7" s="61"/>
      <c r="AG7" s="61"/>
      <c r="AH7" s="61" t="str">
        <f>IFERROR(__xludf.DUMMYFUNCTION("""COMPUTED_VALUE"""),"Yes")</f>
        <v>Yes</v>
      </c>
      <c r="AI7" s="61" t="str">
        <f>IFERROR(__xludf.DUMMYFUNCTION("""COMPUTED_VALUE"""),"Medical advisor")</f>
        <v>Medical advisor</v>
      </c>
      <c r="AJ7" s="61" t="str">
        <f>IFERROR(__xludf.DUMMYFUNCTION("""COMPUTED_VALUE"""),"No")</f>
        <v>No</v>
      </c>
      <c r="AK7" s="61"/>
      <c r="AL7" s="61" t="str">
        <f>IFERROR(__xludf.DUMMYFUNCTION("""COMPUTED_VALUE"""),"Videographer")</f>
        <v>Videographer</v>
      </c>
      <c r="AM7" s="61" t="str">
        <f>IFERROR(__xludf.DUMMYFUNCTION("""COMPUTED_VALUE"""),"CV-JuniorDeBarro En francais 4.0.pdf")</f>
        <v>CV-JuniorDeBarro En francais 4.0.pdf</v>
      </c>
      <c r="AN7" s="61" t="str">
        <f>IFERROR(__xludf.DUMMYFUNCTION("""COMPUTED_VALUE"""),"Yes, I’ve often thought about changing the world, even in a small way. I believe that meaningful change starts with individual actions. Personally, I have shared my knowledge, offered my support and advice whenever possible, and encouraged those around me"&amp;" to pursue their goals. I also strive to act with integrity, respect, and empathy in my daily interactions. Although these actions may seem modest, I believe that a positive influence can create a ripple effect that ultimately contributes to broader socia"&amp;"l change")</f>
        <v>Yes, I’ve often thought about changing the world, even in a small way. I believe that meaningful change starts with individual actions. Personally, I have shared my knowledge, offered my support and advice whenever possible, and encouraged those around me to pursue their goals. I also strive to act with integrity, respect, and empathy in my daily interactions. Although these actions may seem modest, I believe that a positive influence can create a ripple effect that ultimately contributes to broader social change</v>
      </c>
      <c r="AO7" s="61" t="str">
        <f>IFERROR(__xludf.DUMMYFUNCTION("""COMPUTED_VALUE"""),"It is difficult to single out any one country as having major diplomatic significance, as its global influence depends on factors such as its economic power, political leadership, military capabilities, and international cooperation. However, countries su"&amp;"ch as the United States, China, and France play a particularly important diplomatic role due to their influence within international organizations, global trade, and conflict resolution. Their decisions often shape international policies and relations, ma"&amp;"king them key players in addressing global challenges and promoting cooperation among nations.")</f>
        <v>It is difficult to single out any one country as having major diplomatic significance, as its global influence depends on factors such as its economic power, political leadership, military capabilities, and international cooperation. However, countries such as the United States, China, and France play a particularly important diplomatic role due to their influence within international organizations, global trade, and conflict resolution. Their decisions often shape international policies and relations, making them key players in addressing global challenges and promoting cooperation among nations.</v>
      </c>
      <c r="AP7" s="61" t="str">
        <f>IFERROR(__xludf.DUMMYFUNCTION("""COMPUTED_VALUE"""),"Young people play a vital role in diplomacy by bringing fresh perspectives, creativity, and innovative solutions to global challenges. As future leaders, they can promote intercultural dialogue, foster mutual understanding, and contribute to peacebuilding"&amp;" efforts through education, advocacy, and community engagement. Their active participation helps ensure that diplomatic discussions reflect the interests and aspirations of younger generations.
I am drawn to the concept of public diplomacy because it emp"&amp;"hasizes building connections between people rather than solely between governments. Through communication, cultural exchange, and knowledge-sharing, individuals can strengthen international relations and combat stereotypes. I am convinced that young peopl"&amp;"e can use social media, education, and volunteer work to positively represent their communities and encourage international cooperation. By opening themselves up to diverse cultures and perspectives, young people can become true ambassadors of understandi"&amp;"ng and contribute to a more connected and peaceful world")</f>
        <v>Young people play a vital role in diplomacy by bringing fresh perspectives, creativity, and innovative solutions to global challenges. As future leaders, they can promote intercultural dialogue, foster mutual understanding, and contribute to peacebuilding efforts through education, advocacy, and community engagement. Their active participation helps ensure that diplomatic discussions reflect the interests and aspirations of younger generations.
I am drawn to the concept of public diplomacy because it emphasizes building connections between people rather than solely between governments. Through communication, cultural exchange, and knowledge-sharing, individuals can strengthen international relations and combat stereotypes. I am convinced that young people can use social media, education, and volunteer work to positively represent their communities and encourage international cooperation. By opening themselves up to diverse cultures and perspectives, young people can become true ambassadors of understanding and contribute to a more connected and peaceful world</v>
      </c>
      <c r="AQ7" s="61" t="str">
        <f>IFERROR(__xludf.DUMMYFUNCTION("""COMPUTED_VALUE"""),"Passion is a deep enthusiasm and absolute dedication to something that inspires and motivates us. It gives meaning to our efforts and encourages us to persevere, even in the face of difficulties and setbacks. Passion helps us achieve our goals by strength"&amp;"ening our commitment, focus, and resilience. When we are passionate about what we do, we are more inclined to learn, improve, and invest time and energy in our development. It also helps us maintain a positive attitude and stay determined during difficult"&amp;" times. For me, passion is a driving force that turns ambitions into actions and makes long-term goals attainable")</f>
        <v>Passion is a deep enthusiasm and absolute dedication to something that inspires and motivates us. It gives meaning to our efforts and encourages us to persevere, even in the face of difficulties and setbacks. Passion helps us achieve our goals by strengthening our commitment, focus, and resilience. When we are passionate about what we do, we are more inclined to learn, improve, and invest time and energy in our development. It also helps us maintain a positive attitude and stay determined during difficult times. For me, passion is a driving force that turns ambitions into actions and makes long-term goals attainable</v>
      </c>
      <c r="AR7" s="61" t="str">
        <f>IFERROR(__xludf.DUMMYFUNCTION("""COMPUTED_VALUE"""),"Yes, I consider myself a creative person. Creativity allows me to go beyond conventional approaches, adapt to different situations, and find innovative ways to communicate with people from diverse backgrounds. In public diplomacy, creativity is essential "&amp;"for effectively communicating ideas and building meaningful cross-cultural relationships.
I can turn creativity into an effective public diplomacy strategy by using storytelling, digital media, cultural exchange initiatives, and community engagement to p"&amp;"romote mutual understanding. Creative campaigns can make complex issues more accessible and encourage dialogue among different audiences. By combining innovation, empathy, and excellent communication skills, I can help foster positive perceptions, strengt"&amp;"hen ties between peoples, and highlight shared values. I believe that creative public diplomacy is most effective when it inspires collaboration, encourages cultural appreciation, and creates opportunities for constructive international engagement")</f>
        <v>Yes, I consider myself a creative person. Creativity allows me to go beyond conventional approaches, adapt to different situations, and find innovative ways to communicate with people from diverse backgrounds. In public diplomacy, creativity is essential for effectively communicating ideas and building meaningful cross-cultural relationships.
I can turn creativity into an effective public diplomacy strategy by using storytelling, digital media, cultural exchange initiatives, and community engagement to promote mutual understanding. Creative campaigns can make complex issues more accessible and encourage dialogue among different audiences. By combining innovation, empathy, and excellent communication skills, I can help foster positive perceptions, strengthen ties between peoples, and highlight shared values. I believe that creative public diplomacy is most effective when it inspires collaboration, encourages cultural appreciation, and creates opportunities for constructive international engagement</v>
      </c>
      <c r="AS7" s="61" t="str">
        <f>IFERROR(__xludf.DUMMYFUNCTION("""COMPUTED_VALUE"""),"Yes")</f>
        <v>Yes</v>
      </c>
      <c r="AT7" s="61" t="str">
        <f>IFERROR(__xludf.DUMMYFUNCTION("""COMPUTED_VALUE"""),"Yes")</f>
        <v>Yes</v>
      </c>
      <c r="AU7" s="61" t="str">
        <f>IFERROR(__xludf.DUMMYFUNCTION("""COMPUTED_VALUE"""),"International Public Service Relations")</f>
        <v>International Public Service Relations</v>
      </c>
      <c r="AV7" s="61" t="str">
        <f>IFERROR(__xludf.DUMMYFUNCTION("""COMPUTED_VALUE"""),"Mail")</f>
        <v>Mail</v>
      </c>
      <c r="AW7" s="61"/>
      <c r="AX7" s="66" t="str">
        <f>IFERROR(__xludf.DUMMYFUNCTION("""COMPUTED_VALUE"""),"Yes")</f>
        <v>Yes</v>
      </c>
      <c r="AY7" s="66">
        <f>IFERROR(__xludf.DUMMYFUNCTION("""COMPUTED_VALUE"""),15.99)</f>
        <v>15.99</v>
      </c>
      <c r="AZ7" s="61"/>
      <c r="BA7" s="61"/>
      <c r="BB7" s="61"/>
      <c r="BC7" s="61"/>
      <c r="BD7" s="61"/>
      <c r="BE7" s="61"/>
      <c r="BF7" s="61"/>
      <c r="BG7" s="61"/>
      <c r="BH7" s="61"/>
      <c r="BI7" s="61"/>
      <c r="BJ7" s="61"/>
      <c r="BK7" s="61"/>
      <c r="BL7" s="61"/>
      <c r="BM7" s="61"/>
      <c r="BN7" s="61"/>
      <c r="BO7" s="61"/>
      <c r="BP7" s="61"/>
      <c r="BQ7" s="61"/>
      <c r="BR7" s="61"/>
    </row>
    <row r="8" ht="15.75" customHeight="1">
      <c r="A8" s="61" t="str">
        <f>IFERROR(__xludf.DUMMYFUNCTION("""COMPUTED_VALUE"""),"")</f>
        <v/>
      </c>
      <c r="B8" s="62">
        <f>IFERROR(__xludf.DUMMYFUNCTION("""COMPUTED_VALUE"""),14.0)</f>
        <v>14</v>
      </c>
      <c r="C8" s="61" t="str">
        <f>IFERROR(__xludf.DUMMYFUNCTION("""COMPUTED_VALUE"""),"Self")</f>
        <v>Self</v>
      </c>
      <c r="D8" s="63" t="str">
        <f>IFERROR(__xludf.DUMMYFUNCTION("""COMPUTED_VALUE"""),"Submitted")</f>
        <v>Submitted</v>
      </c>
      <c r="E8" s="63">
        <f>IFERROR(__xludf.DUMMYFUNCTION("""COMPUTED_VALUE"""),46173.01388888889)</f>
        <v>46173.01389</v>
      </c>
      <c r="F8" s="61" t="str">
        <f>IFERROR(__xludf.DUMMYFUNCTION("""COMPUTED_VALUE"""),"SYED ABDULLAH ANWER")</f>
        <v>SYED ABDULLAH ANWER</v>
      </c>
      <c r="G8" s="61" t="str">
        <f>IFERROR(__xludf.DUMMYFUNCTION("""COMPUTED_VALUE"""),"SYED ABDULLAH ANWER")</f>
        <v>SYED ABDULLAH ANWER</v>
      </c>
      <c r="H8" s="61" t="str">
        <f>IFERROR(__xludf.DUMMYFUNCTION("""COMPUTED_VALUE"""),"syedabdullahanweradv@gmail.com")</f>
        <v>syedabdullahanweradv@gmail.com</v>
      </c>
      <c r="I8" s="61" t="str">
        <f>IFERROR(__xludf.DUMMYFUNCTION("""COMPUTED_VALUE"""),"sabdullahanwer@yahoo.com")</f>
        <v>sabdullahanwer@yahoo.com</v>
      </c>
      <c r="J8" s="61" t="str">
        <f>IFERROR(__xludf.DUMMYFUNCTION("""COMPUTED_VALUE"""),"House No.55, Street No.11, F-11/1, Islamabad, Pakistan")</f>
        <v>House No.55, Street No.11, F-11/1, Islamabad, Pakistan</v>
      </c>
      <c r="K8" s="61" t="str">
        <f>IFERROR(__xludf.DUMMYFUNCTION("""COMPUTED_VALUE"""),"Pakistani")</f>
        <v>Pakistani</v>
      </c>
      <c r="L8" s="64" t="str">
        <f>IFERROR(__xludf.DUMMYFUNCTION("""COMPUTED_VALUE"""),"+923035924252")</f>
        <v>+923035924252</v>
      </c>
      <c r="M8" s="64">
        <f>IFERROR(__xludf.DUMMYFUNCTION("""COMPUTED_VALUE"""),36728.0)</f>
        <v>36728</v>
      </c>
      <c r="N8" s="61" t="str">
        <f>IFERROR(__xludf.DUMMYFUNCTION("""COMPUTED_VALUE"""),"ZW1806463")</f>
        <v>ZW1806463</v>
      </c>
      <c r="O8" s="61" t="str">
        <f>IFERROR(__xludf.DUMMYFUNCTION("""COMPUTED_VALUE"""),"+923005136164")</f>
        <v>+923005136164</v>
      </c>
      <c r="P8" s="67" t="str">
        <f>IFERROR(__xludf.DUMMYFUNCTION("""COMPUTED_VALUE"""),"https://www.linkedin.com/in/syed-abdullah-anwer-advocate-high-court-fciarb-uk-llm-03731a18a/")</f>
        <v>https://www.linkedin.com/in/syed-abdullah-anwer-advocate-high-court-fciarb-uk-llm-03731a18a/</v>
      </c>
      <c r="Q8" s="67" t="str">
        <f>IFERROR(__xludf.DUMMYFUNCTION("""COMPUTED_VALUE"""),"https://www.instagram.com/aapka.advocate/")</f>
        <v>https://www.instagram.com/aapka.advocate/</v>
      </c>
      <c r="R8" s="65" t="str">
        <f>IFERROR(__xludf.DUMMYFUNCTION("""COMPUTED_VALUE"""),"https://www.facebook.com/abdullah.anwer.54/")</f>
        <v>https://www.facebook.com/abdullah.anwer.54/</v>
      </c>
      <c r="S8" s="61" t="str">
        <f>IFERROR(__xludf.DUMMYFUNCTION("""COMPUTED_VALUE"""),"Blue Passport .jpg")</f>
        <v>Blue Passport .jpg</v>
      </c>
      <c r="T8" s="61" t="str">
        <f>IFERROR(__xludf.DUMMYFUNCTION("""COMPUTED_VALUE"""),"IMG_9459 (1).JPG")</f>
        <v>IMG_9459 (1).JPG</v>
      </c>
      <c r="U8" s="61" t="str">
        <f>IFERROR(__xludf.DUMMYFUNCTION("""COMPUTED_VALUE"""),"Master of Laws in International &amp; Maritime Laws")</f>
        <v>Master of Laws in International &amp; Maritime Laws</v>
      </c>
      <c r="V8" s="61" t="str">
        <f>IFERROR(__xludf.DUMMYFUNCTION("""COMPUTED_VALUE"""),"LLM")</f>
        <v>LLM</v>
      </c>
      <c r="W8" s="61" t="str">
        <f>IFERROR(__xludf.DUMMYFUNCTION("""COMPUTED_VALUE"""),"Treaty Law, International Humanitarian and Human RIghts Law, International Maritime and Trade Law, International Arbitration &amp; Mediation")</f>
        <v>Treaty Law, International Humanitarian and Human RIghts Law, International Maritime and Trade Law, International Arbitration &amp; Mediation</v>
      </c>
      <c r="X8" s="61" t="str">
        <f>IFERROR(__xludf.DUMMYFUNCTION("""COMPUTED_VALUE"""),"Bahria University")</f>
        <v>Bahria University</v>
      </c>
      <c r="Y8" s="61" t="str">
        <f>IFERROR(__xludf.DUMMYFUNCTION("""COMPUTED_VALUE"""),"No")</f>
        <v>No</v>
      </c>
      <c r="Z8" s="61" t="str">
        <f>IFERROR(__xludf.DUMMYFUNCTION("""COMPUTED_VALUE"""),"Pakistan")</f>
        <v>Pakistan</v>
      </c>
      <c r="AA8" s="61" t="str">
        <f>IFERROR(__xludf.DUMMYFUNCTION("""COMPUTED_VALUE"""),"No")</f>
        <v>No</v>
      </c>
      <c r="AB8" s="61"/>
      <c r="AC8" s="61" t="str">
        <f>IFERROR(__xludf.DUMMYFUNCTION("""COMPUTED_VALUE"""),"Yes")</f>
        <v>Yes</v>
      </c>
      <c r="AD8" s="61" t="str">
        <f>IFERROR(__xludf.DUMMYFUNCTION("""COMPUTED_VALUE"""),"Pak Aid Welfare Trust")</f>
        <v>Pak Aid Welfare Trust</v>
      </c>
      <c r="AE8" s="65" t="str">
        <f>IFERROR(__xludf.DUMMYFUNCTION("""COMPUTED_VALUE"""),"https://pakaid.org.pk/")</f>
        <v>https://pakaid.org.pk/</v>
      </c>
      <c r="AF8" s="61" t="str">
        <f>IFERROR(__xludf.DUMMYFUNCTION("""COMPUTED_VALUE"""),"Volunteer")</f>
        <v>Volunteer</v>
      </c>
      <c r="AG8" s="61"/>
      <c r="AH8" s="61" t="str">
        <f>IFERROR(__xludf.DUMMYFUNCTION("""COMPUTED_VALUE"""),"Yes")</f>
        <v>Yes</v>
      </c>
      <c r="AI8" s="61" t="str">
        <f>IFERROR(__xludf.DUMMYFUNCTION("""COMPUTED_VALUE"""),"Senior Associate in TAHOTA LAW FIRM")</f>
        <v>Senior Associate in TAHOTA LAW FIRM</v>
      </c>
      <c r="AJ8" s="61" t="str">
        <f>IFERROR(__xludf.DUMMYFUNCTION("""COMPUTED_VALUE"""),"MANTAQ Center for Legislative Research")</f>
        <v>MANTAQ Center for Legislative Research</v>
      </c>
      <c r="AK8" s="61" t="str">
        <f>IFERROR(__xludf.DUMMYFUNCTION("""COMPUTED_VALUE"""),"The aim of the organisation was to bridge the gap between student societies/aspiring academics and state governance machinery by connecting aspiring law students, future diplomats, and youth leaders with the National Assembly of Pakistan. The organization"&amp;" achieved these goals through targeted legislative awareness campaigns, interactive law-making workshops, and specialized training programs designed to elevate legal research and advocacy skills.")</f>
        <v>The aim of the organisation was to bridge the gap between student societies/aspiring academics and state governance machinery by connecting aspiring law students, future diplomats, and youth leaders with the National Assembly of Pakistan. The organization achieved these goals through targeted legislative awareness campaigns, interactive law-making workshops, and specialized training programs designed to elevate legal research and advocacy skills.</v>
      </c>
      <c r="AL8" s="61" t="str">
        <f>IFERROR(__xludf.DUMMYFUNCTION("""COMPUTED_VALUE"""),"Lawyer, Arbitrator, Mediator, Geopolitical Analyst, Social Media Influencer")</f>
        <v>Lawyer, Arbitrator, Mediator, Geopolitical Analyst, Social Media Influencer</v>
      </c>
      <c r="AM8" s="61" t="str">
        <f>IFERROR(__xludf.DUMMYFUNCTION("""COMPUTED_VALUE"""),"CV of Syed Abdullah Anwer ADR Latest.docx")</f>
        <v>CV of Syed Abdullah Anwer ADR Latest.docx</v>
      </c>
      <c r="AN8" s="61" t="str">
        <f>IFERROR(__xludf.DUMMYFUNCTION("""COMPUTED_VALUE"""),"One of the major issue in my country that i have witnessed is the insurmountable existence of colonial leftover governance procedures and customs in my society that are exloitative rather than being citizen oriented. These customs and procedures exists wi"&amp;"thin government forums regarding food, land, justice system, law making, higher education system and funds allocation mechanisms etc. Through building student led organisations and working with governmental departments on the policy level, i have throguh "&amp;"my direct input, consultancy and litigation efforts endevored to build a more prosperous and inclusive society in Pakistan that can ultimately decolonize its power centers of goernnace and adopt a more citizen oriented structure and approach at the nation"&amp;"al level &amp; provincial levels.")</f>
        <v>One of the major issue in my country that i have witnessed is the insurmountable existence of colonial leftover governance procedures and customs in my society that are exloitative rather than being citizen oriented. These customs and procedures exists within government forums regarding food, land, justice system, law making, higher education system and funds allocation mechanisms etc. Through building student led organisations and working with governmental departments on the policy level, i have throguh my direct input, consultancy and litigation efforts endevored to build a more prosperous and inclusive society in Pakistan that can ultimately decolonize its power centers of goernnace and adopt a more citizen oriented structure and approach at the national level &amp; provincial levels.</v>
      </c>
      <c r="AO8" s="61" t="str">
        <f>IFERROR(__xludf.DUMMYFUNCTION("""COMPUTED_VALUE"""),"I think China is a diplomatically significant country of the world as i have regular bussiness and work related interactions with the corporate entities operating under the Belt and Road Initiative (BRI) in Pakistan, UAE and Egypt. The diplomatic approach"&amp;" that China employs in these countries is heavly influenced by the direct investment on engineering and labour intensive development projects it conducts in an effort to modernize the physical transit and trade infrastructure of these countries. China has"&amp;" recenlty also transitioned towards becoming a global military exporter aswell. It is a country that now projects naval power in the South China Sea and larger asia pacific region and is a major investor in developing African countries aswell.")</f>
        <v>I think China is a diplomatically significant country of the world as i have regular bussiness and work related interactions with the corporate entities operating under the Belt and Road Initiative (BRI) in Pakistan, UAE and Egypt. The diplomatic approach that China employs in these countries is heavly influenced by the direct investment on engineering and labour intensive development projects it conducts in an effort to modernize the physical transit and trade infrastructure of these countries. China has recenlty also transitioned towards becoming a global military exporter aswell. It is a country that now projects naval power in the South China Sea and larger asia pacific region and is a major investor in developing African countries aswell.</v>
      </c>
      <c r="AP8" s="61" t="str">
        <f>IFERROR(__xludf.DUMMYFUNCTION("""COMPUTED_VALUE"""),"I have witnessed public diplomacy through youth leaders bring grass root change and foster dialogue between competing nationalities and ethnic groups. When youth leader are able to communicate directly with foreign/neighbouring citizenry whilst showcasing"&amp;" there culture, heritage, arts, foods, societal norms in a welcoming and inclusive fashion it ultimately always leads to diplomatic bridges being built between civilizations. It ushers in an era of harmony, mutual respect and understanding that is somethi"&amp;"ng which the world desperately requires today, especially as we witness a rise in populist rhetoric in the global north aswell in the global south.")</f>
        <v>I have witnessed public diplomacy through youth leaders bring grass root change and foster dialogue between competing nationalities and ethnic groups. When youth leader are able to communicate directly with foreign/neighbouring citizenry whilst showcasing there culture, heritage, arts, foods, societal norms in a welcoming and inclusive fashion it ultimately always leads to diplomatic bridges being built between civilizations. It ushers in an era of harmony, mutual respect and understanding that is something which the world desperately requires today, especially as we witness a rise in populist rhetoric in the global north aswell in the global south.</v>
      </c>
      <c r="AQ8" s="61" t="str">
        <f>IFERROR(__xludf.DUMMYFUNCTION("""COMPUTED_VALUE"""),"My passion is to create modern technology based society, which is built on the fundemental principles of inclusivity and representation. I wish to increase financial and social equity within my society through non-exploitative banking and trading practice"&amp;"s which ultimaltey uplift citizens from poverty and provide them with better job and educational oppertunities through while also ensuring their freedom of choice and mobility. Finally i wish to create an ecosystem of Ammicable Dispute Resolution mechanis"&amp;"ms within my society which provides a faster, cheaper, safer and more private alternative to traditional court systems for ordinary citizens.")</f>
        <v>My passion is to create modern technology based society, which is built on the fundemental principles of inclusivity and representation. I wish to increase financial and social equity within my society through non-exploitative banking and trading practices which ultimaltey uplift citizens from poverty and provide them with better job and educational oppertunities through while also ensuring their freedom of choice and mobility. Finally i wish to create an ecosystem of Ammicable Dispute Resolution mechanisms within my society which provides a faster, cheaper, safer and more private alternative to traditional court systems for ordinary citizens.</v>
      </c>
      <c r="AR8" s="61" t="str">
        <f>IFERROR(__xludf.DUMMYFUNCTION("""COMPUTED_VALUE"""),"I possess a diverse experience pallete in marketting and sales sector aswell. I have worked across multiple physical dialogue platforms and social media forums in order to project various projects that i have previously undertaken in my professional and a"&amp;"cademic career with over reaching success. Above all else i have always employed a multi-medium strategy in my public diplomacy efforts including print, social media, radio and paid advertisements leading to an effective spread of messaging within the tar"&amp;"get audiences. I have also employed a streamlined planning method when it came to outreach regarding government departments, NGOs, endowments, specialized funds and trusts etc.")</f>
        <v>I possess a diverse experience pallete in marketting and sales sector aswell. I have worked across multiple physical dialogue platforms and social media forums in order to project various projects that i have previously undertaken in my professional and academic career with over reaching success. Above all else i have always employed a multi-medium strategy in my public diplomacy efforts including print, social media, radio and paid advertisements leading to an effective spread of messaging within the target audiences. I have also employed a streamlined planning method when it came to outreach regarding government departments, NGOs, endowments, specialized funds and trusts etc.</v>
      </c>
      <c r="AS8" s="61" t="str">
        <f>IFERROR(__xludf.DUMMYFUNCTION("""COMPUTED_VALUE"""),"Yes")</f>
        <v>Yes</v>
      </c>
      <c r="AT8" s="61" t="str">
        <f>IFERROR(__xludf.DUMMYFUNCTION("""COMPUTED_VALUE"""),"Yes")</f>
        <v>Yes</v>
      </c>
      <c r="AU8" s="61" t="str">
        <f>IFERROR(__xludf.DUMMYFUNCTION("""COMPUTED_VALUE"""),"Global Politics, Diplomacy &amp; Identities")</f>
        <v>Global Politics, Diplomacy &amp; Identities</v>
      </c>
      <c r="AV8" s="61" t="str">
        <f>IFERROR(__xludf.DUMMYFUNCTION("""COMPUTED_VALUE"""),"Google Search")</f>
        <v>Google Search</v>
      </c>
      <c r="AW8" s="61" t="str">
        <f>IFERROR(__xludf.DUMMYFUNCTION("""COMPUTED_VALUE"""),"Media Narratives and Geopolitics in the 21st Century")</f>
        <v>Media Narratives and Geopolitics in the 21st Century</v>
      </c>
      <c r="AX8" s="66" t="str">
        <f>IFERROR(__xludf.DUMMYFUNCTION("""COMPUTED_VALUE"""),"Yes")</f>
        <v>Yes</v>
      </c>
      <c r="AY8" s="66">
        <f>IFERROR(__xludf.DUMMYFUNCTION("""COMPUTED_VALUE"""),15.99)</f>
        <v>15.99</v>
      </c>
      <c r="AZ8" s="61"/>
      <c r="BA8" s="61"/>
      <c r="BB8" s="61"/>
      <c r="BC8" s="61"/>
      <c r="BD8" s="61"/>
      <c r="BE8" s="61"/>
      <c r="BF8" s="61"/>
      <c r="BG8" s="61"/>
      <c r="BH8" s="61"/>
      <c r="BI8" s="61"/>
      <c r="BJ8" s="61"/>
      <c r="BK8" s="61"/>
      <c r="BL8" s="61"/>
      <c r="BM8" s="61"/>
      <c r="BN8" s="61"/>
      <c r="BO8" s="61"/>
      <c r="BP8" s="61"/>
      <c r="BQ8" s="61"/>
      <c r="BR8" s="61"/>
    </row>
    <row r="9" ht="15.75" customHeight="1">
      <c r="A9" s="61" t="str">
        <f>IFERROR(__xludf.DUMMYFUNCTION("""COMPUTED_VALUE"""),"Self")</f>
        <v>Self</v>
      </c>
      <c r="B9" s="62">
        <f>IFERROR(__xludf.DUMMYFUNCTION("""COMPUTED_VALUE"""),15.0)</f>
        <v>15</v>
      </c>
      <c r="C9" s="61" t="str">
        <f>IFERROR(__xludf.DUMMYFUNCTION("""COMPUTED_VALUE"""),"Self")</f>
        <v>Self</v>
      </c>
      <c r="D9" s="63" t="str">
        <f>IFERROR(__xludf.DUMMYFUNCTION("""COMPUTED_VALUE"""),"Submitted")</f>
        <v>Submitted</v>
      </c>
      <c r="E9" s="63">
        <f>IFERROR(__xludf.DUMMYFUNCTION("""COMPUTED_VALUE"""),46174.01597222222)</f>
        <v>46174.01597</v>
      </c>
      <c r="F9" s="61" t="str">
        <f>IFERROR(__xludf.DUMMYFUNCTION("""COMPUTED_VALUE"""),"Aisha Kanwal")</f>
        <v>Aisha Kanwal</v>
      </c>
      <c r="G9" s="61" t="str">
        <f>IFERROR(__xludf.DUMMYFUNCTION("""COMPUTED_VALUE"""),"Aisha Kanwal")</f>
        <v>Aisha Kanwal</v>
      </c>
      <c r="H9" s="61" t="str">
        <f>IFERROR(__xludf.DUMMYFUNCTION("""COMPUTED_VALUE"""),"aisha.kanwal@hotmail.co.uk")</f>
        <v>aisha.kanwal@hotmail.co.uk</v>
      </c>
      <c r="I9" s="61" t="str">
        <f>IFERROR(__xludf.DUMMYFUNCTION("""COMPUTED_VALUE"""),"Winzajewels@gmail.com")</f>
        <v>Winzajewels@gmail.com</v>
      </c>
      <c r="J9" s="61" t="str">
        <f>IFERROR(__xludf.DUMMYFUNCTION("""COMPUTED_VALUE"""),"98 church road b42 elf, Great barr, Birmingham, United Kingdom")</f>
        <v>98 church road b42 elf, Great barr, Birmingham, United Kingdom</v>
      </c>
      <c r="K9" s="61" t="str">
        <f>IFERROR(__xludf.DUMMYFUNCTION("""COMPUTED_VALUE"""),"British")</f>
        <v>British</v>
      </c>
      <c r="L9" s="64" t="str">
        <f>IFERROR(__xludf.DUMMYFUNCTION("""COMPUTED_VALUE"""),"00447467043322")</f>
        <v>00447467043322</v>
      </c>
      <c r="M9" s="64">
        <f>IFERROR(__xludf.DUMMYFUNCTION("""COMPUTED_VALUE"""),32829.0)</f>
        <v>32829</v>
      </c>
      <c r="N9" s="61" t="str">
        <f>IFERROR(__xludf.DUMMYFUNCTION("""COMPUTED_VALUE"""),"157255750")</f>
        <v>157255750</v>
      </c>
      <c r="O9" s="61" t="str">
        <f>IFERROR(__xludf.DUMMYFUNCTION("""COMPUTED_VALUE"""),"+447405022942")</f>
        <v>+447405022942</v>
      </c>
      <c r="P9" s="61" t="str">
        <f>IFERROR(__xludf.DUMMYFUNCTION("""COMPUTED_VALUE"""),"Aisha.kanwal@hotmail.co.uk")</f>
        <v>Aisha.kanwal@hotmail.co.uk</v>
      </c>
      <c r="Q9" s="61" t="str">
        <f>IFERROR(__xludf.DUMMYFUNCTION("""COMPUTED_VALUE"""),"Aisha.kanwal")</f>
        <v>Aisha.kanwal</v>
      </c>
      <c r="R9" s="61" t="str">
        <f>IFERROR(__xludf.DUMMYFUNCTION("""COMPUTED_VALUE"""),"Aisha kanwal")</f>
        <v>Aisha kanwal</v>
      </c>
      <c r="S9" s="61" t="str">
        <f>IFERROR(__xludf.DUMMYFUNCTION("""COMPUTED_VALUE"""),"mmexport1762759567774.jpg")</f>
        <v>mmexport1762759567774.jpg</v>
      </c>
      <c r="T9" s="61" t="str">
        <f>IFERROR(__xludf.DUMMYFUNCTION("""COMPUTED_VALUE"""),"IMG-20260531-WA0002.jpg")</f>
        <v>IMG-20260531-WA0002.jpg</v>
      </c>
      <c r="U9" s="61" t="str">
        <f>IFERROR(__xludf.DUMMYFUNCTION("""COMPUTED_VALUE"""),"Bachelors")</f>
        <v>Bachelors</v>
      </c>
      <c r="V9" s="61" t="str">
        <f>IFERROR(__xludf.DUMMYFUNCTION("""COMPUTED_VALUE"""),"Bsc Honours")</f>
        <v>Bsc Honours</v>
      </c>
      <c r="W9" s="61" t="str">
        <f>IFERROR(__xludf.DUMMYFUNCTION("""COMPUTED_VALUE"""),"Health and Social Care")</f>
        <v>Health and Social Care</v>
      </c>
      <c r="X9" s="61" t="str">
        <f>IFERROR(__xludf.DUMMYFUNCTION("""COMPUTED_VALUE"""),"University of Wales Trinity Saint David Birmingham")</f>
        <v>University of Wales Trinity Saint David Birmingham</v>
      </c>
      <c r="Y9" s="61" t="str">
        <f>IFERROR(__xludf.DUMMYFUNCTION("""COMPUTED_VALUE"""),"Yes")</f>
        <v>Yes</v>
      </c>
      <c r="Z9" s="61" t="str">
        <f>IFERROR(__xludf.DUMMYFUNCTION("""COMPUTED_VALUE"""),"United Kingdom")</f>
        <v>United Kingdom</v>
      </c>
      <c r="AA9" s="61" t="str">
        <f>IFERROR(__xludf.DUMMYFUNCTION("""COMPUTED_VALUE"""),"No")</f>
        <v>No</v>
      </c>
      <c r="AB9" s="61"/>
      <c r="AC9" s="61"/>
      <c r="AD9" s="61" t="str">
        <f>IFERROR(__xludf.DUMMYFUNCTION("""COMPUTED_VALUE"""),"AlHijrah Scouts")</f>
        <v>AlHijrah Scouts</v>
      </c>
      <c r="AE9" s="65" t="str">
        <f>IFERROR(__xludf.DUMMYFUNCTION("""COMPUTED_VALUE"""),"https://AlHijrah.org")</f>
        <v>https://AlHijrah.org</v>
      </c>
      <c r="AF9" s="61" t="str">
        <f>IFERROR(__xludf.DUMMYFUNCTION("""COMPUTED_VALUE"""),"Volunteer Leader")</f>
        <v>Volunteer Leader</v>
      </c>
      <c r="AG9" s="61" t="str">
        <f>IFERROR(__xludf.DUMMYFUNCTION("""COMPUTED_VALUE"""),"1")</f>
        <v>1</v>
      </c>
      <c r="AH9" s="61" t="str">
        <f>IFERROR(__xludf.DUMMYFUNCTION("""COMPUTED_VALUE"""),"No")</f>
        <v>No</v>
      </c>
      <c r="AI9" s="61"/>
      <c r="AJ9" s="61"/>
      <c r="AK9" s="61"/>
      <c r="AL9" s="61" t="str">
        <f>IFERROR(__xludf.DUMMYFUNCTION("""COMPUTED_VALUE"""),"1. Have you ever thought of changing the world? If yes, what actions did you take in your personal capacity to make an impact? (100 words)  Yes, I believe positive change begins with small actions at the community level. In my personal capacity, I have vo"&amp;"lunteered with youth groups and community organisations, supporting young people through educational and personal development activities. I have also contributed to health and wellbeing initiatives by raising awareness about mental health and encouraging "&amp;"individuals to access support services. Through my studies in Health and Social Care, I have developed a strong understanding of social challenges and the importance of inclusion. By promoting education, empathy, and community engagement, I aim to make a "&amp;"meaningful difference and inspire others to contribute positively to society.")</f>
        <v>1. Have you ever thought of changing the world? If yes, what actions did you take in your personal capacity to make an impact? (100 words)  Yes, I believe positive change begins with small actions at the community level. In my personal capacity, I have volunteered with youth groups and community organisations, supporting young people through educational and personal development activities. I have also contributed to health and wellbeing initiatives by raising awareness about mental health and encouraging individuals to access support services. Through my studies in Health and Social Care, I have developed a strong understanding of social challenges and the importance of inclusion. By promoting education, empathy, and community engagement, I aim to make a meaningful difference and inspire others to contribute positively to society.</v>
      </c>
      <c r="AM9" s="61" t="str">
        <f>IFERROR(__xludf.DUMMYFUNCTION("""COMPUTED_VALUE"""),"Aisha kanwal cv.pdf")</f>
        <v>Aisha kanwal cv.pdf</v>
      </c>
      <c r="AN9" s="61" t="str">
        <f>IFERROR(__xludf.DUMMYFUNCTION("""COMPUTED_VALUE"""),"Yes, I believe positive change begins with small actions at the community level. In my personal capacity, I have volunteered with youth groups and community organisations, supporting young people through educational and personal development activities. I "&amp;"have also contributed to health and wellbeing initiatives by raising awareness about mental health and encouraging individuals to access support services. Through my studies in Health and Social Care, I have developed a strong understanding of social chal"&amp;"lenges and the importance of inclusion. By promoting education, empathy, and community engagement, I aim to make a meaningful difference and inspire others to contribute positively to society.")</f>
        <v>Yes, I believe positive change begins with small actions at the community level. In my personal capacity, I have volunteered with youth groups and community organisations, supporting young people through educational and personal development activities. I have also contributed to health and wellbeing initiatives by raising awareness about mental health and encouraging individuals to access support services. Through my studies in Health and Social Care, I have developed a strong understanding of social challenges and the importance of inclusion. By promoting education, empathy, and community engagement, I aim to make a meaningful difference and inspire others to contribute positively to society.</v>
      </c>
      <c r="AO9" s="61" t="str">
        <f>IFERROR(__xludf.DUMMYFUNCTION("""COMPUTED_VALUE"""),"I believe the United States is one of the most diplomatically significant countries in the world because of its influence on international politics, security, trade, and global institutions. As a permanent member of the United Nations Security Council, it"&amp;" plays a key role in addressing international conflicts and promoting global cooperation. The United States also maintains diplomatic relations with nearly every country and contributes significantly to international development, humanitarian aid, and pea"&amp;"ce-building efforts. While many countries have growing influence, the United States continues to shape global decision-making and remains an important actor in diplomacy and international relations.")</f>
        <v>I believe the United States is one of the most diplomatically significant countries in the world because of its influence on international politics, security, trade, and global institutions. As a permanent member of the United Nations Security Council, it plays a key role in addressing international conflicts and promoting global cooperation. The United States also maintains diplomatic relations with nearly every country and contributes significantly to international development, humanitarian aid, and peace-building efforts. While many countries have growing influence, the United States continues to shape global decision-making and remains an important actor in diplomacy and international relations.</v>
      </c>
      <c r="AP9" s="61" t="str">
        <f>IFERROR(__xludf.DUMMYFUNCTION("""COMPUTED_VALUE"""),"Youth play a vital role in diplomacy by promoting dialogue, cultural understanding, innovation, and cooperation across borders. Young people bring fresh perspectives to global challenges and can help build stronger relationships between communities and na"&amp;"tions. Through education, social media, volunteering, and international exchange programmes, youth can contribute to peacebuilding, sustainable development, and mutual understanding.
Public diplomacy focuses on connecting people rather than only governmen"&amp;"ts. It aims to strengthen international relationships through communication, cultural exchange, education, and collaboration. In today's interconnected world, young people are powerful ambassadors who can influence perceptions and encourage positive engag"&amp;"ement between societies.
I relate strongly to the idea of public diplomacy because I believe that meaningful change often begins through communication and understanding. My experience volunteering with youth organisations and engaging with diverse communi"&amp;"ties has shown me the importance of listening to different perspectives and working together to solve common problems. Through my academic background in Health and Social Care, I have learned the value of inclusion, empathy, and community engagement. I be"&amp;"lieve young people have the ability to bridge cultural differences, promote tolerance, and contribute to a more peaceful and cooperative world. Public diplomacy provides an opportunity for youth to become active participants in shaping a better global fut"&amp;"ure.")</f>
        <v>Youth play a vital role in diplomacy by promoting dialogue, cultural understanding, innovation, and cooperation across borders. Young people bring fresh perspectives to global challenges and can help build stronger relationships between communities and nations. Through education, social media, volunteering, and international exchange programmes, youth can contribute to peacebuilding, sustainable development, and mutual understanding.
Public diplomacy focuses on connecting people rather than only governments. It aims to strengthen international relationships through communication, cultural exchange, education, and collaboration. In today's interconnected world, young people are powerful ambassadors who can influence perceptions and encourage positive engagement between societies.
I relate strongly to the idea of public diplomacy because I believe that meaningful change often begins through communication and understanding. My experience volunteering with youth organisations and engaging with diverse communities has shown me the importance of listening to different perspectives and working together to solve common problems. Through my academic background in Health and Social Care, I have learned the value of inclusion, empathy, and community engagement. I believe young people have the ability to bridge cultural differences, promote tolerance, and contribute to a more peaceful and cooperative world. Public diplomacy provides an opportunity for youth to become active participants in shaping a better global future.</v>
      </c>
      <c r="AQ9" s="61" t="str">
        <f>IFERROR(__xludf.DUMMYFUNCTION("""COMPUTED_VALUE"""),"Passion is a strong sense of purpose and enthusiasm that motivates a person to pursue their interests and ambitions. It provides the energy and determination needed to overcome challenges and remain committed to long-term goals. When individuals are passi"&amp;"onate about something, they are more willing to learn, improve, and persist despite obstacles.
Passion has played an important role in helping me achieve my goals. My passion for education, community service, and personal development has encouraged me to "&amp;"continue learning and seeking opportunities to make a positive impact. It motivated me to complete my degree in Health and Social Care and to volunteer within my community, supporting young people and promoting wellbeing. Passion helps me stay focused, re"&amp;"silient, and motivated during difficult times. It reminds me of the purpose behind my efforts and inspires me to keep working towards meaningful goals that benefit both myself and the wider community.")</f>
        <v>Passion is a strong sense of purpose and enthusiasm that motivates a person to pursue their interests and ambitions. It provides the energy and determination needed to overcome challenges and remain committed to long-term goals. When individuals are passionate about something, they are more willing to learn, improve, and persist despite obstacles.
Passion has played an important role in helping me achieve my goals. My passion for education, community service, and personal development has encouraged me to continue learning and seeking opportunities to make a positive impact. It motivated me to complete my degree in Health and Social Care and to volunteer within my community, supporting young people and promoting wellbeing. Passion helps me stay focused, resilient, and motivated during difficult times. It reminds me of the purpose behind my efforts and inspires me to keep working towards meaningful goals that benefit both myself and the wider community.</v>
      </c>
      <c r="AR9" s="61" t="str">
        <f>IFERROR(__xludf.DUMMYFUNCTION("""COMPUTED_VALUE"""),"Yes, I consider myself a creative person because I enjoy finding innovative ways to connect with people from different backgrounds and cultures. Creativity is an important tool in public diplomacy because it helps communicate ideas in a way that is engagi"&amp;"ng, inclusive, and memorable.
I would turn creativity into an effective public diplomacy strategy by using storytelling, cultural exchange, and digital communication to build understanding between communities. For example, social media campaigns, educatio"&amp;"nal projects, and cultural events can be used to share experiences, highlight common values, and encourage dialogue among people from different countries. Creative content such as videos, photographs, and personal stories can make complex issues easier to"&amp;" understand and help foster mutual respect.
My background in Health and Social Care has taught me the importance of empathy, active listening, and effective communication. These skills can support public diplomacy by helping create meaningful connections "&amp;"and promoting cooperation across cultures. I believe successful diplomacy is built on trust, and creativity can make diplomatic messages more accessible and impactful.
By combining creativity with cultural awareness and communication skills, I hope to con"&amp;"tribute to initiatives that promote understanding, collaboration, and positive international relationships.")</f>
        <v>Yes, I consider myself a creative person because I enjoy finding innovative ways to connect with people from different backgrounds and cultures. Creativity is an important tool in public diplomacy because it helps communicate ideas in a way that is engaging, inclusive, and memorable.
I would turn creativity into an effective public diplomacy strategy by using storytelling, cultural exchange, and digital communication to build understanding between communities. For example, social media campaigns, educational projects, and cultural events can be used to share experiences, highlight common values, and encourage dialogue among people from different countries. Creative content such as videos, photographs, and personal stories can make complex issues easier to understand and help foster mutual respect.
My background in Health and Social Care has taught me the importance of empathy, active listening, and effective communication. These skills can support public diplomacy by helping create meaningful connections and promoting cooperation across cultures. I believe successful diplomacy is built on trust, and creativity can make diplomatic messages more accessible and impactful.
By combining creativity with cultural awareness and communication skills, I hope to contribute to initiatives that promote understanding, collaboration, and positive international relationships.</v>
      </c>
      <c r="AS9" s="61" t="str">
        <f>IFERROR(__xludf.DUMMYFUNCTION("""COMPUTED_VALUE"""),"Yes")</f>
        <v>Yes</v>
      </c>
      <c r="AT9" s="61" t="str">
        <f>IFERROR(__xludf.DUMMYFUNCTION("""COMPUTED_VALUE"""),"Yes")</f>
        <v>Yes</v>
      </c>
      <c r="AU9" s="61" t="str">
        <f>IFERROR(__xludf.DUMMYFUNCTION("""COMPUTED_VALUE"""),"Global Politics, Diplomacy &amp; Identities")</f>
        <v>Global Politics, Diplomacy &amp; Identities</v>
      </c>
      <c r="AV9" s="61" t="str">
        <f>IFERROR(__xludf.DUMMYFUNCTION("""COMPUTED_VALUE"""),"I was sent email to sign up for the summit and join fully funded course")</f>
        <v>I was sent email to sign up for the summit and join fully funded course</v>
      </c>
      <c r="AW9" s="61" t="str">
        <f>IFERROR(__xludf.DUMMYFUNCTION("""COMPUTED_VALUE"""),"Public Diplomacy in the 21st Century Since you have a BSc in Health and Social Care, this answer will fit well with your academic background and scholarship application.")</f>
        <v>Public Diplomacy in the 21st Century Since you have a BSc in Health and Social Care, this answer will fit well with your academic background and scholarship application.</v>
      </c>
      <c r="AX9" s="66" t="str">
        <f>IFERROR(__xludf.DUMMYFUNCTION("""COMPUTED_VALUE"""),"Yes")</f>
        <v>Yes</v>
      </c>
      <c r="AY9" s="66">
        <f>IFERROR(__xludf.DUMMYFUNCTION("""COMPUTED_VALUE"""),15.99)</f>
        <v>15.99</v>
      </c>
      <c r="AZ9" s="61"/>
      <c r="BA9" s="61"/>
      <c r="BB9" s="61"/>
      <c r="BC9" s="61"/>
      <c r="BD9" s="61"/>
      <c r="BE9" s="61"/>
      <c r="BF9" s="61"/>
      <c r="BG9" s="61"/>
      <c r="BH9" s="61"/>
      <c r="BI9" s="61"/>
      <c r="BJ9" s="61"/>
      <c r="BK9" s="61"/>
      <c r="BL9" s="61"/>
      <c r="BM9" s="61"/>
      <c r="BN9" s="61"/>
      <c r="BO9" s="61"/>
      <c r="BP9" s="61"/>
      <c r="BQ9" s="61"/>
      <c r="BR9" s="61"/>
    </row>
    <row r="10" ht="15.75" customHeight="1">
      <c r="A10" s="61" t="str">
        <f>IFERROR(__xludf.DUMMYFUNCTION("""COMPUTED_VALUE"""),"")</f>
        <v/>
      </c>
      <c r="B10" s="62">
        <f>IFERROR(__xludf.DUMMYFUNCTION("""COMPUTED_VALUE"""),16.0)</f>
        <v>16</v>
      </c>
      <c r="C10" s="61" t="str">
        <f>IFERROR(__xludf.DUMMYFUNCTION("""COMPUTED_VALUE"""),"Self")</f>
        <v>Self</v>
      </c>
      <c r="D10" s="63" t="str">
        <f>IFERROR(__xludf.DUMMYFUNCTION("""COMPUTED_VALUE"""),"Submitted")</f>
        <v>Submitted</v>
      </c>
      <c r="E10" s="63">
        <f>IFERROR(__xludf.DUMMYFUNCTION("""COMPUTED_VALUE"""),46174.50972222222)</f>
        <v>46174.50972</v>
      </c>
      <c r="F10" s="61" t="str">
        <f>IFERROR(__xludf.DUMMYFUNCTION("""COMPUTED_VALUE"""),"Helph Monod Honorat")</f>
        <v>Helph Monod Honorat</v>
      </c>
      <c r="G10" s="61" t="str">
        <f>IFERROR(__xludf.DUMMYFUNCTION("""COMPUTED_VALUE"""),"Helph Monod Honorat")</f>
        <v>Helph Monod Honorat</v>
      </c>
      <c r="H10" s="61" t="str">
        <f>IFERROR(__xludf.DUMMYFUNCTION("""COMPUTED_VALUE"""),"honoratmonod@gmail.com")</f>
        <v>honoratmonod@gmail.com</v>
      </c>
      <c r="I10" s="61" t="str">
        <f>IFERROR(__xludf.DUMMYFUNCTION("""COMPUTED_VALUE"""),"honoratmonod@yahoo.fr")</f>
        <v>honoratmonod@yahoo.fr</v>
      </c>
      <c r="J10" s="61"/>
      <c r="K10" s="61" t="str">
        <f>IFERROR(__xludf.DUMMYFUNCTION("""COMPUTED_VALUE"""),"Haiti")</f>
        <v>Haiti</v>
      </c>
      <c r="L10" s="64" t="str">
        <f>IFERROR(__xludf.DUMMYFUNCTION("""COMPUTED_VALUE"""),"+50936281272")</f>
        <v>+50936281272</v>
      </c>
      <c r="M10" s="64">
        <f>IFERROR(__xludf.DUMMYFUNCTION("""COMPUTED_VALUE"""),30483.0)</f>
        <v>30483</v>
      </c>
      <c r="N10" s="61" t="str">
        <f>IFERROR(__xludf.DUMMYFUNCTION("""COMPUTED_VALUE"""),"L70029286")</f>
        <v>L70029286</v>
      </c>
      <c r="O10" s="61" t="str">
        <f>IFERROR(__xludf.DUMMYFUNCTION("""COMPUTED_VALUE"""),"honojosar@yahoo.fr")</f>
        <v>honojosar@yahoo.fr</v>
      </c>
      <c r="P10" s="61"/>
      <c r="Q10" s="61"/>
      <c r="R10" s="61"/>
      <c r="S10" s="61" t="str">
        <f>IFERROR(__xludf.DUMMYFUNCTION("""COMPUTED_VALUE"""),"2025_Passeport Honorat.pdf")</f>
        <v>2025_Passeport Honorat.pdf</v>
      </c>
      <c r="T10" s="61" t="str">
        <f>IFERROR(__xludf.DUMMYFUNCTION("""COMPUTED_VALUE"""),"Honorat_Photo.JPG")</f>
        <v>Honorat_Photo.JPG</v>
      </c>
      <c r="U10" s="61" t="str">
        <f>IFERROR(__xludf.DUMMYFUNCTION("""COMPUTED_VALUE"""),"PhD")</f>
        <v>PhD</v>
      </c>
      <c r="V10" s="61" t="str">
        <f>IFERROR(__xludf.DUMMYFUNCTION("""COMPUTED_VALUE"""),"Economics")</f>
        <v>Economics</v>
      </c>
      <c r="W10" s="61"/>
      <c r="X10" s="61" t="str">
        <f>IFERROR(__xludf.DUMMYFUNCTION("""COMPUTED_VALUE"""),"Kobe University")</f>
        <v>Kobe University</v>
      </c>
      <c r="Y10" s="61" t="str">
        <f>IFERROR(__xludf.DUMMYFUNCTION("""COMPUTED_VALUE"""),"No")</f>
        <v>No</v>
      </c>
      <c r="Z10" s="61" t="str">
        <f>IFERROR(__xludf.DUMMYFUNCTION("""COMPUTED_VALUE"""),"Japan")</f>
        <v>Japan</v>
      </c>
      <c r="AA10" s="61" t="str">
        <f>IFERROR(__xludf.DUMMYFUNCTION("""COMPUTED_VALUE"""),"No")</f>
        <v>No</v>
      </c>
      <c r="AB10" s="61"/>
      <c r="AC10" s="61" t="str">
        <f>IFERROR(__xludf.DUMMYFUNCTION("""COMPUTED_VALUE"""),"yes")</f>
        <v>yes</v>
      </c>
      <c r="AD10" s="61" t="str">
        <f>IFERROR(__xludf.DUMMYFUNCTION("""COMPUTED_VALUE"""),"Association des Volontaires pour la Democratie")</f>
        <v>Association des Volontaires pour la Democratie</v>
      </c>
      <c r="AE10" s="61"/>
      <c r="AF10" s="61" t="str">
        <f>IFERROR(__xludf.DUMMYFUNCTION("""COMPUTED_VALUE"""),"Head International Cooperation")</f>
        <v>Head International Cooperation</v>
      </c>
      <c r="AG10" s="61" t="str">
        <f>IFERROR(__xludf.DUMMYFUNCTION("""COMPUTED_VALUE"""),"20")</f>
        <v>20</v>
      </c>
      <c r="AH10" s="61" t="str">
        <f>IFERROR(__xludf.DUMMYFUNCTION("""COMPUTED_VALUE"""),"Yes")</f>
        <v>Yes</v>
      </c>
      <c r="AI10" s="61" t="str">
        <f>IFERROR(__xludf.DUMMYFUNCTION("""COMPUTED_VALUE"""),"International Business Consultant")</f>
        <v>International Business Consultant</v>
      </c>
      <c r="AJ10" s="61" t="str">
        <f>IFERROR(__xludf.DUMMYFUNCTION("""COMPUTED_VALUE"""),"Yes")</f>
        <v>Yes</v>
      </c>
      <c r="AK10" s="61" t="str">
        <f>IFERROR(__xludf.DUMMYFUNCTION("""COMPUTED_VALUE"""),"This organisation enables young people to acquire a real comprehension of the democracy process in addition to defining and solving problems themselves. I am planning to use educational exchanges and training programs as an effective way to place these yo"&amp;"ung people at the center of science diplomacy. Our goal is to raise young people awareness about healthcare challenges and environmental responsibility as they take on more active leadership roles.")</f>
        <v>This organisation enables young people to acquire a real comprehension of the democracy process in addition to defining and solving problems themselves. I am planning to use educational exchanges and training programs as an effective way to place these young people at the center of science diplomacy. Our goal is to raise young people awareness about healthcare challenges and environmental responsibility as they take on more active leadership roles.</v>
      </c>
      <c r="AL10" s="61" t="str">
        <f>IFERROR(__xludf.DUMMYFUNCTION("""COMPUTED_VALUE"""),"Diplomat, Economist")</f>
        <v>Diplomat, Economist</v>
      </c>
      <c r="AM10" s="61" t="str">
        <f>IFERROR(__xludf.DUMMYFUNCTION("""COMPUTED_VALUE"""),"Helph Monod Honorat_Short Version Resume 2026.pdf")</f>
        <v>Helph Monod Honorat_Short Version Resume 2026.pdf</v>
      </c>
      <c r="AN10" s="61" t="str">
        <f>IFERROR(__xludf.DUMMYFUNCTION("""COMPUTED_VALUE"""),"I believe that, in my modest capacity, I can help bring about positive change in the world by making an impact in my community. That’s why my commitment to social services inspired me to create a Young Leaders’ Association whose name is: Volunteers for De"&amp;"mocracy (VD) in 2006. I am the one who designed the Youth Government Program (Haitian Parliament) in Haiti. The “Youth Government” is a simulation where young people play the role of Haitian government members with the aim of understanding the working of "&amp;"the Executive Power. This Program enables young people to acquire a real comprehension of the democracy process in addition to defining and solving problems themselves. I am planning to use educational exchanges and training programs as an effective way t"&amp;"o place these young people at the center of science diplomacy. Our goal is to raise young people awareness about healthcare challenges and environmental responsibility as they take on more active leadership roles.")</f>
        <v>I believe that, in my modest capacity, I can help bring about positive change in the world by making an impact in my community. That’s why my commitment to social services inspired me to create a Young Leaders’ Association whose name is: Volunteers for Democracy (VD) in 2006. I am the one who designed the Youth Government Program (Haitian Parliament) in Haiti. The “Youth Government” is a simulation where young people play the role of Haitian government members with the aim of understanding the working of the Executive Power. This Program enables young people to acquire a real comprehension of the democracy process in addition to defining and solving problems themselves. I am planning to use educational exchanges and training programs as an effective way to place these young people at the center of science diplomacy. Our goal is to raise young people awareness about healthcare challenges and environmental responsibility as they take on more active leadership roles.</v>
      </c>
      <c r="AO10" s="61" t="str">
        <f>IFERROR(__xludf.DUMMYFUNCTION("""COMPUTED_VALUE"""),"It's difficult to consider a single country as the most important in diplomatic terms, as this depends on the context and the criteria used. However, several countries stand out for their diplomatic influence. For example, as one of the largest global eco"&amp;"nomies and a military superpower, the USA plays a key role in a variety of international contexts, in security, economics and politics. They are the headquarters of institutions like the United Nations and World Bank and they are at the heart of internati"&amp;"onal diplomacy. 
We can also consider China that has increased its diplomatic influence on a global scale with its growing economy and initiatives such as the Belt and Road Initiative. Even though they are not a single country, the EU acts collectively as"&amp;" a diplomatic entity, strengthening the influence of its member states on the international stage.
We can also take Russia into consideration. As a major nuclear power and a permanent member of the UN Security Council, it plays a great role in regional co"&amp;"nflicts and international relations, notably in the Middle East and Eastern Europe. This reality makes it a key player. 
So many countries have their own levers of influence, and their importance can vary according to the issues addressed like security, t"&amp;"rade, environment, human rights, etc.")</f>
        <v>It's difficult to consider a single country as the most important in diplomatic terms, as this depends on the context and the criteria used. However, several countries stand out for their diplomatic influence. For example, as one of the largest global economies and a military superpower, the USA plays a key role in a variety of international contexts, in security, economics and politics. They are the headquarters of institutions like the United Nations and World Bank and they are at the heart of international diplomacy. 
We can also consider China that has increased its diplomatic influence on a global scale with its growing economy and initiatives such as the Belt and Road Initiative. Even though they are not a single country, the EU acts collectively as a diplomatic entity, strengthening the influence of its member states on the international stage.
We can also take Russia into consideration. As a major nuclear power and a permanent member of the UN Security Council, it plays a great role in regional conflicts and international relations, notably in the Middle East and Eastern Europe. This reality makes it a key player. 
So many countries have their own levers of influence, and their importance can vary according to the issues addressed like security, trade, environment, human rights, etc.</v>
      </c>
      <c r="AP10" s="61" t="str">
        <f>IFERROR(__xludf.DUMMYFUNCTION("""COMPUTED_VALUE"""),"The role of young people in diplomacy is increasingly important, as they bring fresh perspectives and ideas to bear on today's global challenges. With global issues such as climate change, economic inequality, digital governance and international conflict"&amp;", young people have a significant voice to make heard. For example, in 2022, I launch a group consisting of young members of the Japanese parliament and young Ambassadors accredited to Japan. The group's primary goal is to create a network of personal con"&amp;"nections among diplomats, Japanese parliamentarians, and key figures in Japan's political, economic, and cultural sectors. The group also strives to establish a platform for exchanges that will foster partnerships in education, health, and sports, while a"&amp;"dding a parliamentary dimension to traditional diplomatic relations.
Public Diplomacy can be used as a soft power to promote positive towards a country or an institution. For instance, as a diplomat, I promoted diplomatic relationships between Japan/Korea"&amp;" and Haiti, and also effectively improved the Country’s reputation to this part of the world by attracting Japanese investors in Haiti and disseminating information which enhances a positive image of Haiti. In the age of social, young people can play a gr"&amp;"eat role in using public diplomacy to reduce the impact of disinformation and fake news.")</f>
        <v>The role of young people in diplomacy is increasingly important, as they bring fresh perspectives and ideas to bear on today's global challenges. With global issues such as climate change, economic inequality, digital governance and international conflict, young people have a significant voice to make heard. For example, in 2022, I launch a group consisting of young members of the Japanese parliament and young Ambassadors accredited to Japan. The group's primary goal is to create a network of personal connections among diplomats, Japanese parliamentarians, and key figures in Japan's political, economic, and cultural sectors. The group also strives to establish a platform for exchanges that will foster partnerships in education, health, and sports, while adding a parliamentary dimension to traditional diplomatic relations.
Public Diplomacy can be used as a soft power to promote positive towards a country or an institution. For instance, as a diplomat, I promoted diplomatic relationships between Japan/Korea and Haiti, and also effectively improved the Country’s reputation to this part of the world by attracting Japanese investors in Haiti and disseminating information which enhances a positive image of Haiti. In the age of social, young people can play a great role in using public diplomacy to reduce the impact of disinformation and fake news.</v>
      </c>
      <c r="AQ10" s="61" t="str">
        <f>IFERROR(__xludf.DUMMYFUNCTION("""COMPUTED_VALUE"""),"I consider passion as a powerful driver of motivation and commitment, playing an essential role in the achievement of personal and professional goals.  One of the greatest values my parents taught me is that anything and everything is possible with passio"&amp;"n. This value pushed me to surpass myself and to confront the unexpected. 
That’s why I decided to come to Japan to pursue my graduate studies. I knew no words in the language. Despite everything, I didn’t want to give up because I wanted to make my paren"&amp;"ts and my community proud. It was from this inner passion that I drew all my motivation to overcome these transient difficulties and adapt to this new reality. At the end of the day, coming to Japan was the best choice of my life. It taught me to put ever"&amp;"ything into perspective, to be more tolerant and to develop my ability to adapt.")</f>
        <v>I consider passion as a powerful driver of motivation and commitment, playing an essential role in the achievement of personal and professional goals.  One of the greatest values my parents taught me is that anything and everything is possible with passion. This value pushed me to surpass myself and to confront the unexpected. 
That’s why I decided to come to Japan to pursue my graduate studies. I knew no words in the language. Despite everything, I didn’t want to give up because I wanted to make my parents and my community proud. It was from this inner passion that I drew all my motivation to overcome these transient difficulties and adapt to this new reality. At the end of the day, coming to Japan was the best choice of my life. It taught me to put everything into perspective, to be more tolerant and to develop my ability to adapt.</v>
      </c>
      <c r="AR10" s="61" t="str">
        <f>IFERROR(__xludf.DUMMYFUNCTION("""COMPUTED_VALUE"""),"Yes, I am a creative person. I used my professional experiences to create the Haitian Science Policy Network which is made up of students, early-career scientists, engineers, and medical professionals who seek to become more engaged in science diplomacy. "&amp;"Many of them plan to transition from academia to the diplomacy world in their future careers. During our monthly Science Diplomacy Committee meeting, the members learn about my own career journey as well as the science diplomacy topics, such as Agricultur"&amp;"e, Renewable Energy and climate change mitigation and natural disaster resiliency, that are important to the bilateral relationship between Haiti and different countries. We advise on how early-career scientists and engineers can begin honing their skills"&amp;" for a policy career, such as prioritizing their networks/relationships and learning to explain science to anyone.  This initiative can be used as the perfect stepping-stone towards the emergence of a knowledge-based society, capable of developing new for"&amp;"ms of relationships with its international partners. That could help in improving the country’s image and reputation.")</f>
        <v>Yes, I am a creative person. I used my professional experiences to create the Haitian Science Policy Network which is made up of students, early-career scientists, engineers, and medical professionals who seek to become more engaged in science diplomacy. Many of them plan to transition from academia to the diplomacy world in their future careers. During our monthly Science Diplomacy Committee meeting, the members learn about my own career journey as well as the science diplomacy topics, such as Agriculture, Renewable Energy and climate change mitigation and natural disaster resiliency, that are important to the bilateral relationship between Haiti and different countries. We advise on how early-career scientists and engineers can begin honing their skills for a policy career, such as prioritizing their networks/relationships and learning to explain science to anyone.  This initiative can be used as the perfect stepping-stone towards the emergence of a knowledge-based society, capable of developing new forms of relationships with its international partners. That could help in improving the country’s image and reputation.</v>
      </c>
      <c r="AS10" s="61" t="str">
        <f>IFERROR(__xludf.DUMMYFUNCTION("""COMPUTED_VALUE"""),"No")</f>
        <v>No</v>
      </c>
      <c r="AT10" s="61" t="str">
        <f>IFERROR(__xludf.DUMMYFUNCTION("""COMPUTED_VALUE"""),"No")</f>
        <v>No</v>
      </c>
      <c r="AU10" s="61" t="str">
        <f>IFERROR(__xludf.DUMMYFUNCTION("""COMPUTED_VALUE"""),"Global Politics, Diplomacy &amp; Identities")</f>
        <v>Global Politics, Diplomacy &amp; Identities</v>
      </c>
      <c r="AV10" s="61" t="str">
        <f>IFERROR(__xludf.DUMMYFUNCTION("""COMPUTED_VALUE"""),"scholarships portal")</f>
        <v>scholarships portal</v>
      </c>
      <c r="AW10" s="61" t="str">
        <f>IFERROR(__xludf.DUMMYFUNCTION("""COMPUTED_VALUE"""),"Peace, Power &amp; Policy")</f>
        <v>Peace, Power &amp; Policy</v>
      </c>
      <c r="AX10" s="66" t="str">
        <f>IFERROR(__xludf.DUMMYFUNCTION("""COMPUTED_VALUE"""),"Yes")</f>
        <v>Yes</v>
      </c>
      <c r="AY10" s="66">
        <f>IFERROR(__xludf.DUMMYFUNCTION("""COMPUTED_VALUE"""),15.99)</f>
        <v>15.99</v>
      </c>
      <c r="AZ10" s="61"/>
      <c r="BA10" s="61"/>
      <c r="BB10" s="61"/>
      <c r="BC10" s="61"/>
      <c r="BD10" s="61"/>
      <c r="BE10" s="61"/>
      <c r="BF10" s="61"/>
      <c r="BG10" s="61"/>
      <c r="BH10" s="61"/>
      <c r="BI10" s="61"/>
      <c r="BJ10" s="61"/>
      <c r="BK10" s="61"/>
      <c r="BL10" s="61"/>
      <c r="BM10" s="61"/>
      <c r="BN10" s="61"/>
      <c r="BO10" s="61"/>
      <c r="BP10" s="61"/>
      <c r="BQ10" s="61"/>
      <c r="BR10" s="61"/>
    </row>
    <row r="11" ht="15.75" customHeight="1">
      <c r="A11" s="61" t="str">
        <f>IFERROR(__xludf.DUMMYFUNCTION("""COMPUTED_VALUE"""),"Partial")</f>
        <v>Partial</v>
      </c>
      <c r="B11" s="62">
        <f>IFERROR(__xludf.DUMMYFUNCTION("""COMPUTED_VALUE"""),17.0)</f>
        <v>17</v>
      </c>
      <c r="C11" s="61" t="str">
        <f>IFERROR(__xludf.DUMMYFUNCTION("""COMPUTED_VALUE"""),"Partial")</f>
        <v>Partial</v>
      </c>
      <c r="D11" s="63" t="str">
        <f>IFERROR(__xludf.DUMMYFUNCTION("""COMPUTED_VALUE"""),"Submitted")</f>
        <v>Submitted</v>
      </c>
      <c r="E11" s="63">
        <f>IFERROR(__xludf.DUMMYFUNCTION("""COMPUTED_VALUE"""),46174.84861111111)</f>
        <v>46174.84861</v>
      </c>
      <c r="F11" s="61" t="str">
        <f>IFERROR(__xludf.DUMMYFUNCTION("""COMPUTED_VALUE"""),"Patricia Arthur-Jim")</f>
        <v>Patricia Arthur-Jim</v>
      </c>
      <c r="G11" s="61" t="str">
        <f>IFERROR(__xludf.DUMMYFUNCTION("""COMPUTED_VALUE"""),"PATRICIA DOE ARTHUR-JIM")</f>
        <v>PATRICIA DOE ARTHUR-JIM</v>
      </c>
      <c r="H11" s="61" t="str">
        <f>IFERROR(__xludf.DUMMYFUNCTION("""COMPUTED_VALUE"""),"patriciadoejim@gmail.com")</f>
        <v>patriciadoejim@gmail.com</v>
      </c>
      <c r="I11" s="61" t="str">
        <f>IFERROR(__xludf.DUMMYFUNCTION("""COMPUTED_VALUE"""),"purpletrish21@gmail.com")</f>
        <v>purpletrish21@gmail.com</v>
      </c>
      <c r="J11" s="61" t="str">
        <f>IFERROR(__xludf.DUMMYFUNCTION("""COMPUTED_VALUE"""),"H/No 4 Christian Village, KINGFISHER STREET, Kingfisher Street, Accra, Ghana")</f>
        <v>H/No 4 Christian Village, KINGFISHER STREET, Kingfisher Street, Accra, Ghana</v>
      </c>
      <c r="K11" s="61" t="str">
        <f>IFERROR(__xludf.DUMMYFUNCTION("""COMPUTED_VALUE"""),"Ghanaian")</f>
        <v>Ghanaian</v>
      </c>
      <c r="L11" s="64" t="str">
        <f>IFERROR(__xludf.DUMMYFUNCTION("""COMPUTED_VALUE"""),"+233557873118")</f>
        <v>+233557873118</v>
      </c>
      <c r="M11" s="64">
        <f>IFERROR(__xludf.DUMMYFUNCTION("""COMPUTED_VALUE"""),35073.0)</f>
        <v>35073</v>
      </c>
      <c r="N11" s="61" t="str">
        <f>IFERROR(__xludf.DUMMYFUNCTION("""COMPUTED_VALUE"""),"G4261553")</f>
        <v>G4261553</v>
      </c>
      <c r="O11" s="61" t="str">
        <f>IFERROR(__xludf.DUMMYFUNCTION("""COMPUTED_VALUE"""),"+233260745474")</f>
        <v>+233260745474</v>
      </c>
      <c r="P11" s="67" t="str">
        <f>IFERROR(__xludf.DUMMYFUNCTION("""COMPUTED_VALUE"""),"www.linkedin.com/in/patricia-arthur-jim-030a53135")</f>
        <v>www.linkedin.com/in/patricia-arthur-jim-030a53135</v>
      </c>
      <c r="Q11" s="67" t="str">
        <f>IFERROR(__xludf.DUMMYFUNCTION("""COMPUTED_VALUE"""),"https://www.instagram.com/ms.jarts?igsh=NDFoODBtZWwzcmc2")</f>
        <v>https://www.instagram.com/ms.jarts?igsh=NDFoODBtZWwzcmc2</v>
      </c>
      <c r="R11" s="65" t="str">
        <f>IFERROR(__xludf.DUMMYFUNCTION("""COMPUTED_VALUE"""),"https://www.facebook.com/share/1DmfbMyPfA/")</f>
        <v>https://www.facebook.com/share/1DmfbMyPfA/</v>
      </c>
      <c r="S11" s="61" t="str">
        <f>IFERROR(__xludf.DUMMYFUNCTION("""COMPUTED_VALUE"""),"Passport Bio.pdf")</f>
        <v>Passport Bio.pdf</v>
      </c>
      <c r="T11" s="61" t="str">
        <f>IFERROR(__xludf.DUMMYFUNCTION("""COMPUTED_VALUE"""),"image.png")</f>
        <v>image.png</v>
      </c>
      <c r="U11" s="61" t="str">
        <f>IFERROR(__xludf.DUMMYFUNCTION("""COMPUTED_VALUE"""),"Masters")</f>
        <v>Masters</v>
      </c>
      <c r="V11" s="61" t="str">
        <f>IFERROR(__xludf.DUMMYFUNCTION("""COMPUTED_VALUE"""),"Master of Arts")</f>
        <v>Master of Arts</v>
      </c>
      <c r="W11" s="61" t="str">
        <f>IFERROR(__xludf.DUMMYFUNCTION("""COMPUTED_VALUE"""),"International Relations and Diplomacy")</f>
        <v>International Relations and Diplomacy</v>
      </c>
      <c r="X11" s="61" t="str">
        <f>IFERROR(__xludf.DUMMYFUNCTION("""COMPUTED_VALUE"""),"Ghana Institute of Management and Public Administration")</f>
        <v>Ghana Institute of Management and Public Administration</v>
      </c>
      <c r="Y11" s="61" t="str">
        <f>IFERROR(__xludf.DUMMYFUNCTION("""COMPUTED_VALUE"""),"No")</f>
        <v>No</v>
      </c>
      <c r="Z11" s="61" t="str">
        <f>IFERROR(__xludf.DUMMYFUNCTION("""COMPUTED_VALUE"""),"Ghana")</f>
        <v>Ghana</v>
      </c>
      <c r="AA11" s="61" t="str">
        <f>IFERROR(__xludf.DUMMYFUNCTION("""COMPUTED_VALUE"""),"No")</f>
        <v>No</v>
      </c>
      <c r="AB11" s="61"/>
      <c r="AC11" s="61" t="str">
        <f>IFERROR(__xludf.DUMMYFUNCTION("""COMPUTED_VALUE"""),"Yes")</f>
        <v>Yes</v>
      </c>
      <c r="AD11" s="61" t="str">
        <f>IFERROR(__xludf.DUMMYFUNCTION("""COMPUTED_VALUE"""),"Green Climate Health Network")</f>
        <v>Green Climate Health Network</v>
      </c>
      <c r="AE11" s="61"/>
      <c r="AF11" s="61" t="str">
        <f>IFERROR(__xludf.DUMMYFUNCTION("""COMPUTED_VALUE"""),"Volunteer")</f>
        <v>Volunteer</v>
      </c>
      <c r="AG11" s="61" t="str">
        <f>IFERROR(__xludf.DUMMYFUNCTION("""COMPUTED_VALUE"""),"5")</f>
        <v>5</v>
      </c>
      <c r="AH11" s="61" t="str">
        <f>IFERROR(__xludf.DUMMYFUNCTION("""COMPUTED_VALUE"""),"No")</f>
        <v>No</v>
      </c>
      <c r="AI11" s="61" t="str">
        <f>IFERROR(__xludf.DUMMYFUNCTION("""COMPUTED_VALUE"""),"Overseeing and running of day-to-day activities. Liaising with stakeholders")</f>
        <v>Overseeing and running of day-to-day activities. Liaising with stakeholders</v>
      </c>
      <c r="AJ11" s="61" t="str">
        <f>IFERROR(__xludf.DUMMYFUNCTION("""COMPUTED_VALUE"""),"Yes, The Jarts Foundation")</f>
        <v>Yes, The Jarts Foundation</v>
      </c>
      <c r="AK11" s="61" t="str">
        <f>IFERROR(__xludf.DUMMYFUNCTION("""COMPUTED_VALUE"""),"To empower individuals and communities through education, leadership development, and sustainable community impact, with a strong focus on youth empowerment, capacity building, and creating opportunities for long-term social and economic growth.")</f>
        <v>To empower individuals and communities through education, leadership development, and sustainable community impact, with a strong focus on youth empowerment, capacity building, and creating opportunities for long-term social and economic growth.</v>
      </c>
      <c r="AL11" s="61" t="str">
        <f>IFERROR(__xludf.DUMMYFUNCTION("""COMPUTED_VALUE"""),"Project Consultant")</f>
        <v>Project Consultant</v>
      </c>
      <c r="AM11" s="61" t="str">
        <f>IFERROR(__xludf.DUMMYFUNCTION("""COMPUTED_VALUE"""),"Curriculum Vitae_Patricia Doe Arthur MPP 2026.pdf")</f>
        <v>Curriculum Vitae_Patricia Doe Arthur MPP 2026.pdf</v>
      </c>
      <c r="AN11" s="61" t="str">
        <f>IFERROR(__xludf.DUMMYFUNCTION("""COMPUTED_VALUE"""),"Yes. I have consistently believed that meaningful global change begins with intentional local action. In my personal capacity, I have contributed to youth and skills development through project coordination work on employment and capacity-building initiat"&amp;"ives in Ghana. I also co-founded Naa AI, an education-focused platform designed to improve access to learning resources, and I lead community development efforts through The Jarts Foundation. In addition, I mentor young people in leadership and civic enga"&amp;"gement. These experiences have shaped my commitment to empowering others with knowledge, opportunity, and practical tools to participate actively in their communities and broader society.")</f>
        <v>Yes. I have consistently believed that meaningful global change begins with intentional local action. In my personal capacity, I have contributed to youth and skills development through project coordination work on employment and capacity-building initiatives in Ghana. I also co-founded Naa AI, an education-focused platform designed to improve access to learning resources, and I lead community development efforts through The Jarts Foundation. In addition, I mentor young people in leadership and civic engagement. These experiences have shaped my commitment to empowering others with knowledge, opportunity, and practical tools to participate actively in their communities and broader society.</v>
      </c>
      <c r="AO11" s="61" t="str">
        <f>IFERROR(__xludf.DUMMYFUNCTION("""COMPUTED_VALUE"""),"A diplomatically significant country is one that shapes global decision-making not only through military or economic power, but through sustained influence in international institutions, mediation roles, and agenda-setting in global governance. In this re"&amp;"gard, countries such as the United States, China, and members of the European Union hold major weight due to their economic scale, security roles, and institutional presence. However, diplomatically significant states also include middle powers like India"&amp;", South Africa, and Indonesia, which actively contribute to multilateral diplomacy, regional stability, and South-South cooperation. Ultimately, diplomatic significance is defined by a country’s ability to influence global norms, broker consensus, and par"&amp;"ticipate meaningfully in addressing transnational challenges such as climate change, security, and development.")</f>
        <v>A diplomatically significant country is one that shapes global decision-making not only through military or economic power, but through sustained influence in international institutions, mediation roles, and agenda-setting in global governance. In this regard, countries such as the United States, China, and members of the European Union hold major weight due to their economic scale, security roles, and institutional presence. However, diplomatically significant states also include middle powers like India, South Africa, and Indonesia, which actively contribute to multilateral diplomacy, regional stability, and South-South cooperation. Ultimately, diplomatic significance is defined by a country’s ability to influence global norms, broker consensus, and participate meaningfully in addressing transnational challenges such as climate change, security, and development.</v>
      </c>
      <c r="AP11" s="61" t="str">
        <f>IFERROR(__xludf.DUMMYFUNCTION("""COMPUTED_VALUE"""),"Youth play a critical role in diplomacy as both participants and shapers of global narratives in an increasingly interconnected world. While traditional diplomacy is state-led, public diplomacy relies heavily on people-to-people engagement, cultural excha"&amp;"nge, and communication across borders. Young people contribute by serving as bridges between cultures, challenging stereotypes, and amplifying diverse perspectives through education, innovation, and digital platforms. In many cases, youth are also early a"&amp;"dopters of technology, making them influential in shaping online discourse and global opinion.
I relate to the idea of public diplomacy as a practical extension of my work in education, youth development, and community engagement. Through my involvement "&amp;"in skills and employment programming in Ghana, I have seen how exposure and knowledge-sharing can reshape how young people perceive their role in society. As the co-founder of Naa AI, I also recognize the importance of accessible knowledge systems in empo"&amp;"wering informed global citizens. Public diplomacy, to me, is not limited to governments; it is the continuous exchange of values, ideas, and understanding among individuals who, consciously or not, represent their communities on a global stage. I see myse"&amp;"lf as part of this process by fostering learning, dialogue, and leadership among young people.")</f>
        <v>Youth play a critical role in diplomacy as both participants and shapers of global narratives in an increasingly interconnected world. While traditional diplomacy is state-led, public diplomacy relies heavily on people-to-people engagement, cultural exchange, and communication across borders. Young people contribute by serving as bridges between cultures, challenging stereotypes, and amplifying diverse perspectives through education, innovation, and digital platforms. In many cases, youth are also early adopters of technology, making them influential in shaping online discourse and global opinion.
I relate to the idea of public diplomacy as a practical extension of my work in education, youth development, and community engagement. Through my involvement in skills and employment programming in Ghana, I have seen how exposure and knowledge-sharing can reshape how young people perceive their role in society. As the co-founder of Naa AI, I also recognize the importance of accessible knowledge systems in empowering informed global citizens. Public diplomacy, to me, is not limited to governments; it is the continuous exchange of values, ideas, and understanding among individuals who, consciously or not, represent their communities on a global stage. I see myself as part of this process by fostering learning, dialogue, and leadership among young people.</v>
      </c>
      <c r="AQ11" s="61" t="str">
        <f>IFERROR(__xludf.DUMMYFUNCTION("""COMPUTED_VALUE"""),"Passion is a deep sense of purpose and emotional drive toward something that gives meaning to one’s actions. It goes beyond interest or motivation; it is the inner force that sustains effort even when challenges arise or results are not immediate. Passion"&amp;" gives direction to goals by making them personally significant, rather than merely tasks to be completed.
Passion helps achieve goals by providing consistency, resilience, and focus. When difficulties appear, passion sustains commitment and prevents dis"&amp;"couragement. It also enhances creativity and problem-solving, because individuals are more willing to explore new approaches when they genuinely care about the outcome. Additionally, passion builds discipline over time, as it aligns daily habits with long"&amp;"-term vision.
In my own experience, passion for education, youth empowerment, and policy-driven impact has guided my academic and professional journey. It has helped me remain committed to long-term projects in development and innovation, even when progr"&amp;"ess is gradual, by reminding me of the broader purpose behind the work.")</f>
        <v>Passion is a deep sense of purpose and emotional drive toward something that gives meaning to one’s actions. It goes beyond interest or motivation; it is the inner force that sustains effort even when challenges arise or results are not immediate. Passion gives direction to goals by making them personally significant, rather than merely tasks to be completed.
Passion helps achieve goals by providing consistency, resilience, and focus. When difficulties appear, passion sustains commitment and prevents discouragement. It also enhances creativity and problem-solving, because individuals are more willing to explore new approaches when they genuinely care about the outcome. Additionally, passion builds discipline over time, as it aligns daily habits with long-term vision.
In my own experience, passion for education, youth empowerment, and policy-driven impact has guided my academic and professional journey. It has helped me remain committed to long-term projects in development and innovation, even when progress is gradual, by reminding me of the broader purpose behind the work.</v>
      </c>
      <c r="AR11" s="61" t="str">
        <f>IFERROR(__xludf.DUMMYFUNCTION("""COMPUTED_VALUE"""),"Yes, I consider myself a creative person, particularly in how I approach problem-solving, communication, and development work. Creativity, to me, is not limited to artistic expression but extends to the ability to connect ideas across disciplines, design "&amp;"innovative solutions, and communicate in ways that resonate with diverse audiences. My background in education, international relations, and social impact work has strengthened this ability by requiring me to adapt messages and strategies to different com"&amp;"munities and contexts.
Creativity becomes an effective public diplomacy strategy when it is used to shape narratives, build understanding, and influence perceptions across borders. Public diplomacy is not only about formal state communication but also ab"&amp;"out storytelling, cultural expression, and digital engagement that foster mutual respect and collaboration. A creative approach allows for the use of platforms such as media, educational content, and technology to translate complex policy and cultural ide"&amp;"as into accessible and relatable messages.
In practice, I apply creativity through initiatives like educational technology development and youth engagement programs, where I focus on simplifying knowledge and making learning more engaging. By combining c"&amp;"reativity with strategic communication, I aim to contribute to public diplomacy efforts that build bridges between communities, promote shared understanding, and encourage collaborative global solutions.")</f>
        <v>Yes, I consider myself a creative person, particularly in how I approach problem-solving, communication, and development work. Creativity, to me, is not limited to artistic expression but extends to the ability to connect ideas across disciplines, design innovative solutions, and communicate in ways that resonate with diverse audiences. My background in education, international relations, and social impact work has strengthened this ability by requiring me to adapt messages and strategies to different communities and contexts.
Creativity becomes an effective public diplomacy strategy when it is used to shape narratives, build understanding, and influence perceptions across borders. Public diplomacy is not only about formal state communication but also about storytelling, cultural expression, and digital engagement that foster mutual respect and collaboration. A creative approach allows for the use of platforms such as media, educational content, and technology to translate complex policy and cultural ideas into accessible and relatable messages.
In practice, I apply creativity through initiatives like educational technology development and youth engagement programs, where I focus on simplifying knowledge and making learning more engaging. By combining creativity with strategic communication, I aim to contribute to public diplomacy efforts that build bridges between communities, promote shared understanding, and encourage collaborative global solutions.</v>
      </c>
      <c r="AS11" s="61" t="str">
        <f>IFERROR(__xludf.DUMMYFUNCTION("""COMPUTED_VALUE"""),"Yes")</f>
        <v>Yes</v>
      </c>
      <c r="AT11" s="61" t="str">
        <f>IFERROR(__xludf.DUMMYFUNCTION("""COMPUTED_VALUE"""),"Yes")</f>
        <v>Yes</v>
      </c>
      <c r="AU11" s="61" t="str">
        <f>IFERROR(__xludf.DUMMYFUNCTION("""COMPUTED_VALUE"""),"Global Politics, Diplomacy &amp; Identities")</f>
        <v>Global Politics, Diplomacy &amp; Identities</v>
      </c>
      <c r="AV11" s="61" t="str">
        <f>IFERROR(__xludf.DUMMYFUNCTION("""COMPUTED_VALUE"""),"Google search")</f>
        <v>Google search</v>
      </c>
      <c r="AW11" s="61" t="str">
        <f>IFERROR(__xludf.DUMMYFUNCTION("""COMPUTED_VALUE"""),"Public Diplomacy in Contemporary Global Politics and Cultural Diplomacy and Global Influence")</f>
        <v>Public Diplomacy in Contemporary Global Politics and Cultural Diplomacy and Global Influence</v>
      </c>
      <c r="AX11" s="66" t="str">
        <f>IFERROR(__xludf.DUMMYFUNCTION("""COMPUTED_VALUE"""),"Yes")</f>
        <v>Yes</v>
      </c>
      <c r="AY11" s="66">
        <f>IFERROR(__xludf.DUMMYFUNCTION("""COMPUTED_VALUE"""),15.99)</f>
        <v>15.99</v>
      </c>
      <c r="AZ11" s="61"/>
      <c r="BA11" s="61"/>
      <c r="BB11" s="61"/>
      <c r="BC11" s="61"/>
      <c r="BD11" s="61"/>
      <c r="BE11" s="61"/>
      <c r="BF11" s="61"/>
      <c r="BG11" s="61"/>
      <c r="BH11" s="61"/>
      <c r="BI11" s="61"/>
      <c r="BJ11" s="61"/>
      <c r="BK11" s="61"/>
      <c r="BL11" s="61"/>
      <c r="BM11" s="61"/>
      <c r="BN11" s="61"/>
      <c r="BO11" s="61"/>
      <c r="BP11" s="61"/>
      <c r="BQ11" s="61"/>
      <c r="BR11" s="61"/>
    </row>
    <row r="12" ht="15.75" customHeight="1">
      <c r="A12" s="61" t="str">
        <f>IFERROR(__xludf.DUMMYFUNCTION("""COMPUTED_VALUE"""),"Full/Partial")</f>
        <v>Full/Partial</v>
      </c>
      <c r="B12" s="62">
        <f>IFERROR(__xludf.DUMMYFUNCTION("""COMPUTED_VALUE"""),18.0)</f>
        <v>18</v>
      </c>
      <c r="C12" s="61" t="str">
        <f>IFERROR(__xludf.DUMMYFUNCTION("""COMPUTED_VALUE"""),"Alumni")</f>
        <v>Alumni</v>
      </c>
      <c r="D12" s="63" t="str">
        <f>IFERROR(__xludf.DUMMYFUNCTION("""COMPUTED_VALUE"""),"Submitted")</f>
        <v>Submitted</v>
      </c>
      <c r="E12" s="63">
        <f>IFERROR(__xludf.DUMMYFUNCTION("""COMPUTED_VALUE"""),46175.33402777778)</f>
        <v>46175.33403</v>
      </c>
      <c r="F12" s="61" t="str">
        <f>IFERROR(__xludf.DUMMYFUNCTION("""COMPUTED_VALUE"""),"Nan Mao")</f>
        <v>Nan Mao</v>
      </c>
      <c r="G12" s="61" t="str">
        <f>IFERROR(__xludf.DUMMYFUNCTION("""COMPUTED_VALUE"""),"Nan Mao")</f>
        <v>Nan Mao</v>
      </c>
      <c r="H12" s="61" t="str">
        <f>IFERROR(__xludf.DUMMYFUNCTION("""COMPUTED_VALUE"""),"garlenmao@gmail.com")</f>
        <v>garlenmao@gmail.com</v>
      </c>
      <c r="I12" s="61" t="str">
        <f>IFERROR(__xludf.DUMMYFUNCTION("""COMPUTED_VALUE"""),"378474867@qq.com")</f>
        <v>378474867@qq.com</v>
      </c>
      <c r="J12" s="61" t="str">
        <f>IFERROR(__xludf.DUMMYFUNCTION("""COMPUTED_VALUE"""),"No. 369 Zhongshan North 1st Road, Hongkou District, Shanghai")</f>
        <v>No. 369 Zhongshan North 1st Road, Hongkou District, Shanghai</v>
      </c>
      <c r="K12" s="61" t="str">
        <f>IFERROR(__xludf.DUMMYFUNCTION("""COMPUTED_VALUE"""),"Chinese")</f>
        <v>Chinese</v>
      </c>
      <c r="L12" s="64" t="str">
        <f>IFERROR(__xludf.DUMMYFUNCTION("""COMPUTED_VALUE"""),"+8615800329510")</f>
        <v>+8615800329510</v>
      </c>
      <c r="M12" s="64">
        <f>IFERROR(__xludf.DUMMYFUNCTION("""COMPUTED_VALUE"""),34245.0)</f>
        <v>34245</v>
      </c>
      <c r="N12" s="61" t="str">
        <f>IFERROR(__xludf.DUMMYFUNCTION("""COMPUTED_VALUE"""),"EQ6685172")</f>
        <v>EQ6685172</v>
      </c>
      <c r="O12" s="61" t="str">
        <f>IFERROR(__xludf.DUMMYFUNCTION("""COMPUTED_VALUE"""),"+852 54265627")</f>
        <v>+852 54265627</v>
      </c>
      <c r="P12" s="61"/>
      <c r="Q12" s="61" t="str">
        <f>IFERROR(__xludf.DUMMYFUNCTION("""COMPUTED_VALUE"""),"garlenmao.shanghai")</f>
        <v>garlenmao.shanghai</v>
      </c>
      <c r="R12" s="61" t="str">
        <f>IFERROR(__xludf.DUMMYFUNCTION("""COMPUTED_VALUE"""),"garlenmao.shanghai")</f>
        <v>garlenmao.shanghai</v>
      </c>
      <c r="S12" s="61" t="str">
        <f>IFERROR(__xludf.DUMMYFUNCTION("""COMPUTED_VALUE"""),"passport（1）.png")</f>
        <v>passport（1）.png</v>
      </c>
      <c r="T12" s="61" t="str">
        <f>IFERROR(__xludf.DUMMYFUNCTION("""COMPUTED_VALUE"""),"微信图片_20260212230040_459_8.jpg")</f>
        <v>微信图片_20260212230040_459_8.jpg</v>
      </c>
      <c r="U12" s="61" t="str">
        <f>IFERROR(__xludf.DUMMYFUNCTION("""COMPUTED_VALUE"""),"Master")</f>
        <v>Master</v>
      </c>
      <c r="V12" s="61" t="str">
        <f>IFERROR(__xludf.DUMMYFUNCTION("""COMPUTED_VALUE"""),"MBA")</f>
        <v>MBA</v>
      </c>
      <c r="W12" s="61"/>
      <c r="X12" s="61" t="str">
        <f>IFERROR(__xludf.DUMMYFUNCTION("""COMPUTED_VALUE"""),"Shanghai University of Finance and Economics")</f>
        <v>Shanghai University of Finance and Economics</v>
      </c>
      <c r="Y12" s="61" t="str">
        <f>IFERROR(__xludf.DUMMYFUNCTION("""COMPUTED_VALUE"""),"Yes")</f>
        <v>Yes</v>
      </c>
      <c r="Z12" s="61"/>
      <c r="AA12" s="61" t="str">
        <f>IFERROR(__xludf.DUMMYFUNCTION("""COMPUTED_VALUE"""),"No")</f>
        <v>No</v>
      </c>
      <c r="AB12" s="61"/>
      <c r="AC12" s="61"/>
      <c r="AD12" s="61" t="str">
        <f>IFERROR(__xludf.DUMMYFUNCTION("""COMPUTED_VALUE"""),"No")</f>
        <v>No</v>
      </c>
      <c r="AE12" s="61"/>
      <c r="AF12" s="61"/>
      <c r="AG12" s="61"/>
      <c r="AH12" s="61" t="str">
        <f>IFERROR(__xludf.DUMMYFUNCTION("""COMPUTED_VALUE"""),"No")</f>
        <v>No</v>
      </c>
      <c r="AI12" s="61"/>
      <c r="AJ12" s="61"/>
      <c r="AK12" s="61"/>
      <c r="AL12" s="61"/>
      <c r="AM12" s="61" t="str">
        <f>IFERROR(__xludf.DUMMYFUNCTION("""COMPUTED_VALUE"""),"GarlenMao CV.pdf")</f>
        <v>GarlenMao CV.pdf</v>
      </c>
      <c r="AN12" s="61" t="str">
        <f>IFERROR(__xludf.DUMMYFUNCTION("""COMPUTED_VALUE"""),"Yes，I set up an oral English club in my university to help students break down ‘the last wall’ of English learning. I'm also an influencer on the Internet，including Instagram、wechat、Rednote，making an influence on people's daily life. In addition，I attend "&amp;"the CSCD Forum held in Kuala lumpur last time，making an impact on the world and
expanding my Asian circle as well！")</f>
        <v>Yes，I set up an oral English club in my university to help students break down ‘the last wall’ of English learning. I'm also an influencer on the Internet，including Instagram、wechat、Rednote，making an influence on people's daily life. In addition，I attend the CSCD Forum held in Kuala lumpur last time，making an impact on the world and
expanding my Asian circle as well！</v>
      </c>
      <c r="AO12" s="61" t="str">
        <f>IFERROR(__xludf.DUMMYFUNCTION("""COMPUTED_VALUE"""),"In my view, China is one of the most diplomatically significant countries in the world. As a permanent member of the UN Security Council, it plays a key role in maintaining global peace and security. Through initiatives like the Belt and Road, it has buil"&amp;"t extensive partnerships across Asia, Africa, and Europe, promoting economic cooperation and cultural exchange. Its diplomatic philosophy of mutual respect and win-win cooperation also offers an alternative model for international relations, making it a c"&amp;"rucial bridge between developing and developed nations.")</f>
        <v>In my view, China is one of the most diplomatically significant countries in the world. As a permanent member of the UN Security Council, it plays a key role in maintaining global peace and security. Through initiatives like the Belt and Road, it has built extensive partnerships across Asia, Africa, and Europe, promoting economic cooperation and cultural exchange. Its diplomatic philosophy of mutual respect and win-win cooperation also offers an alternative model for international relations, making it a crucial bridge between developing and developed nations.</v>
      </c>
      <c r="AP12" s="61" t="str">
        <f>IFERROR(__xludf.DUMMYFUNCTION("""COMPUTED_VALUE"""),"Youth play an irreplaceable role in diplomacy as bridges of mutual understanding and future-oriented change-makers. Unlike traditional state-led diplomacy, youth engagement thrives on cultural exchange, digital connectivity, and grassroots dialogue, which"&amp;" align closely with the spirit of public diplomacy. From China’s perspective, young people embody the country’s soft power: they share stories of Chinese culture, participate in international volunteer programs, and build cross-border friendships through "&amp;"social media and youth forums.
As a young person myself, I see public diplomacy not as a distant concept but as daily actions. When I interact with peers from other countries, I’m not just representing myself—I’m fostering trust, correcting stereotypes, a"&amp;"nd promoting people-to-people bonds. Youth’s openness to new ideas also drives innovative solutions to global challenges like climate change and cultural misunderstanding, making them vital partners in building a more inclusive and interconnected world.")</f>
        <v>Youth play an irreplaceable role in diplomacy as bridges of mutual understanding and future-oriented change-makers. Unlike traditional state-led diplomacy, youth engagement thrives on cultural exchange, digital connectivity, and grassroots dialogue, which align closely with the spirit of public diplomacy. From China’s perspective, young people embody the country’s soft power: they share stories of Chinese culture, participate in international volunteer programs, and build cross-border friendships through social media and youth forums.
As a young person myself, I see public diplomacy not as a distant concept but as daily actions. When I interact with peers from other countries, I’m not just representing myself—I’m fostering trust, correcting stereotypes, and promoting people-to-people bonds. Youth’s openness to new ideas also drives innovative solutions to global challenges like climate change and cultural misunderstanding, making them vital partners in building a more inclusive and interconnected world.</v>
      </c>
      <c r="AQ12" s="61" t="str">
        <f>IFERROR(__xludf.DUMMYFUNCTION("""COMPUTED_VALUE"""),"Passion is a powerful and intense emotion that drives us to pursue what we truly love and believe in. It is the spark that ignites our motivation and keeps us going even when the journey gets tough. Passion fuels our determination and resilience, making i"&amp;"t easier to overcome obstacles and stay focused on our goals.
When we are passionate about something, we are more likely to put in the time and effort required to succeed. Passion gives us a sense of purpose and direction, making our goals more meaningfu"&amp;"l and achievable. It helps us stay motivated during challenging times and pushes us to constantly improve and learn. Passion also makes the process of working towards our goals more enjoyable, turning what might otherwise be a chore into something we trul"&amp;"y love doing.
In my own experience, passion has been the driving force behind many of my achievements. It has helped me stay committed to my goals, even when progress seemed slow or difficult. Passion not only helps us achieve our goals but also enriches"&amp;" our lives with a sense of fulfillment and joy.")</f>
        <v>Passion is a powerful and intense emotion that drives us to pursue what we truly love and believe in. It is the spark that ignites our motivation and keeps us going even when the journey gets tough. Passion fuels our determination and resilience, making it easier to overcome obstacles and stay focused on our goals.
When we are passionate about something, we are more likely to put in the time and effort required to succeed. Passion gives us a sense of purpose and direction, making our goals more meaningful and achievable. It helps us stay motivated during challenging times and pushes us to constantly improve and learn. Passion also makes the process of working towards our goals more enjoyable, turning what might otherwise be a chore into something we truly love doing.
In my own experience, passion has been the driving force behind many of my achievements. It has helped me stay committed to my goals, even when progress seemed slow or difficult. Passion not only helps us achieve our goals but also enriches our lives with a sense of fulfillment and joy.</v>
      </c>
      <c r="AR12" s="61" t="str">
        <f>IFERROR(__xludf.DUMMYFUNCTION("""COMPUTED_VALUE"""),"Yes, I consider myself a creative person. Creativity is essential in turning ideas into effective public diplomacy strategies. Public diplomacy involves engaging with foreign publics to build mutual understanding and trust. To be effective, it requires in"&amp;"novative approaches that capture attention and foster genuine connections.
One way to turn creativity into an effective public diplomacy strategy is through storytelling. Sharing compelling narratives that highlight cultural values, achievements, and sha"&amp;"red human experiences can resonate deeply with audiences. For example, using multimedia platforms to tell stories of everyday people’s lives, traditions, and aspirations can humanize a country and break down stereotypes.
Another approach is leveraging di"&amp;"gital and social media. Creative content such as short videos, interactive campaigns, and virtual cultural exchanges can reach a wide audience and encourage engagement. These platforms allow for real-time interaction, enabling public diplomats to listen t"&amp;"o foreign publics and adapt their strategies accordingly.
Additionally, creativity can be applied to cultural exchanges and events. Organizing unique and immersive experiences, such as art exhibitions, music festivals, or culinary showcases, can attract d"&amp;"iverse audiences and create lasting impressions. By combining creativity with strategic planning and cultural sensitivity, public diplomacy can become a powerful tool for building bridges and fostering international goodwill.")</f>
        <v>Yes, I consider myself a creative person. Creativity is essential in turning ideas into effective public diplomacy strategies. Public diplomacy involves engaging with foreign publics to build mutual understanding and trust. To be effective, it requires innovative approaches that capture attention and foster genuine connections.
One way to turn creativity into an effective public diplomacy strategy is through storytelling. Sharing compelling narratives that highlight cultural values, achievements, and shared human experiences can resonate deeply with audiences. For example, using multimedia platforms to tell stories of everyday people’s lives, traditions, and aspirations can humanize a country and break down stereotypes.
Another approach is leveraging digital and social media. Creative content such as short videos, interactive campaigns, and virtual cultural exchanges can reach a wide audience and encourage engagement. These platforms allow for real-time interaction, enabling public diplomats to listen to foreign publics and adapt their strategies accordingly.
Additionally, creativity can be applied to cultural exchanges and events. Organizing unique and immersive experiences, such as art exhibitions, music festivals, or culinary showcases, can attract diverse audiences and create lasting impressions. By combining creativity with strategic planning and cultural sensitivity, public diplomacy can become a powerful tool for building bridges and fostering international goodwill.</v>
      </c>
      <c r="AS12" s="61" t="str">
        <f>IFERROR(__xludf.DUMMYFUNCTION("""COMPUTED_VALUE"""),"Yes")</f>
        <v>Yes</v>
      </c>
      <c r="AT12" s="61" t="str">
        <f>IFERROR(__xludf.DUMMYFUNCTION("""COMPUTED_VALUE"""),"Yes")</f>
        <v>Yes</v>
      </c>
      <c r="AU12" s="61" t="str">
        <f>IFERROR(__xludf.DUMMYFUNCTION("""COMPUTED_VALUE"""),"Global Politics, Diplomacy &amp; Identities")</f>
        <v>Global Politics, Diplomacy &amp; Identities</v>
      </c>
      <c r="AV12" s="61" t="str">
        <f>IFERROR(__xludf.DUMMYFUNCTION("""COMPUTED_VALUE"""),"Scholarships")</f>
        <v>Scholarships</v>
      </c>
      <c r="AW12" s="61"/>
      <c r="AX12" s="66" t="str">
        <f>IFERROR(__xludf.DUMMYFUNCTION("""COMPUTED_VALUE"""),"Yes")</f>
        <v>Yes</v>
      </c>
      <c r="AY12" s="66">
        <f>IFERROR(__xludf.DUMMYFUNCTION("""COMPUTED_VALUE"""),15.99)</f>
        <v>15.99</v>
      </c>
      <c r="AZ12" s="61"/>
      <c r="BA12" s="61"/>
      <c r="BB12" s="61"/>
      <c r="BC12" s="61"/>
      <c r="BD12" s="61"/>
      <c r="BE12" s="61"/>
      <c r="BF12" s="61"/>
      <c r="BG12" s="61"/>
      <c r="BH12" s="61"/>
      <c r="BI12" s="61"/>
      <c r="BJ12" s="61"/>
      <c r="BK12" s="61"/>
      <c r="BL12" s="61"/>
      <c r="BM12" s="61"/>
      <c r="BN12" s="61"/>
      <c r="BO12" s="61"/>
      <c r="BP12" s="61"/>
      <c r="BQ12" s="61"/>
      <c r="BR12" s="61"/>
    </row>
    <row r="13" ht="15.75" customHeight="1">
      <c r="A13" s="61" t="str">
        <f>IFERROR(__xludf.DUMMYFUNCTION("""COMPUTED_VALUE"""),"Full/Partial")</f>
        <v>Full/Partial</v>
      </c>
      <c r="B13" s="62">
        <f>IFERROR(__xludf.DUMMYFUNCTION("""COMPUTED_VALUE"""),20.0)</f>
        <v>20</v>
      </c>
      <c r="C13" s="61" t="str">
        <f>IFERROR(__xludf.DUMMYFUNCTION("""COMPUTED_VALUE"""),"Partial")</f>
        <v>Partial</v>
      </c>
      <c r="D13" s="63" t="str">
        <f>IFERROR(__xludf.DUMMYFUNCTION("""COMPUTED_VALUE"""),"Submitted")</f>
        <v>Submitted</v>
      </c>
      <c r="E13" s="63">
        <f>IFERROR(__xludf.DUMMYFUNCTION("""COMPUTED_VALUE"""),46176.02013888889)</f>
        <v>46176.02014</v>
      </c>
      <c r="F13" s="61" t="str">
        <f>IFERROR(__xludf.DUMMYFUNCTION("""COMPUTED_VALUE"""),"Radia CHAOUI ABOU HAJJAJ")</f>
        <v>Radia CHAOUI ABOU HAJJAJ</v>
      </c>
      <c r="G13" s="61" t="str">
        <f>IFERROR(__xludf.DUMMYFUNCTION("""COMPUTED_VALUE"""),"Radia CHAOUI ABOU HAJJAJ")</f>
        <v>Radia CHAOUI ABOU HAJJAJ</v>
      </c>
      <c r="H13" s="61" t="str">
        <f>IFERROR(__xludf.DUMMYFUNCTION("""COMPUTED_VALUE"""),"radiachaoui@yahoo.com")</f>
        <v>radiachaoui@yahoo.com</v>
      </c>
      <c r="I13" s="61" t="str">
        <f>IFERROR(__xludf.DUMMYFUNCTION("""COMPUTED_VALUE"""),"radia.chaouiabouhajjaj@um6p.ma")</f>
        <v>radia.chaouiabouhajjaj@um6p.ma</v>
      </c>
      <c r="J13" s="61" t="str">
        <f>IFERROR(__xludf.DUMMYFUNCTION("""COMPUTED_VALUE"""),"ALMAZ GH05 immeuble G, ALMAZ GH05 immeuble G, Casablanca")</f>
        <v>ALMAZ GH05 immeuble G, ALMAZ GH05 immeuble G, Casablanca</v>
      </c>
      <c r="K13" s="61" t="str">
        <f>IFERROR(__xludf.DUMMYFUNCTION("""COMPUTED_VALUE"""),"morocco")</f>
        <v>morocco</v>
      </c>
      <c r="L13" s="64" t="str">
        <f>IFERROR(__xludf.DUMMYFUNCTION("""COMPUTED_VALUE"""),"+212661428355")</f>
        <v>+212661428355</v>
      </c>
      <c r="M13" s="64">
        <f>IFERROR(__xludf.DUMMYFUNCTION("""COMPUTED_VALUE"""),37803.0)</f>
        <v>37803</v>
      </c>
      <c r="N13" s="61" t="str">
        <f>IFERROR(__xludf.DUMMYFUNCTION("""COMPUTED_VALUE"""),"CF7868704")</f>
        <v>CF7868704</v>
      </c>
      <c r="O13" s="61" t="str">
        <f>IFERROR(__xludf.DUMMYFUNCTION("""COMPUTED_VALUE"""),"+212664173133")</f>
        <v>+212664173133</v>
      </c>
      <c r="P13" s="65" t="str">
        <f>IFERROR(__xludf.DUMMYFUNCTION("""COMPUTED_VALUE"""),"https://www.linkedin.com/in/radia-chaoui-85268b220/?skipRedirect=true")</f>
        <v>https://www.linkedin.com/in/radia-chaoui-85268b220/?skipRedirect=true</v>
      </c>
      <c r="Q13" s="61"/>
      <c r="R13" s="61"/>
      <c r="S13" s="61" t="str">
        <f>IFERROR(__xludf.DUMMYFUNCTION("""COMPUTED_VALUE"""),"WhatsApp Image 2026-06-02 at 12.48.16.jpeg")</f>
        <v>WhatsApp Image 2026-06-02 at 12.48.16.jpeg</v>
      </c>
      <c r="T13" s="61" t="str">
        <f>IFERROR(__xludf.DUMMYFUNCTION("""COMPUTED_VALUE"""),"9ADAD96B-A2E2-4EC4-96B3-453F28F77D5D_1_201_a.jpeg")</f>
        <v>9ADAD96B-A2E2-4EC4-96B3-453F28F77D5D_1_201_a.jpeg</v>
      </c>
      <c r="U13" s="61" t="str">
        <f>IFERROR(__xludf.DUMMYFUNCTION("""COMPUTED_VALUE"""),"Master's degree")</f>
        <v>Master's degree</v>
      </c>
      <c r="V13" s="61" t="str">
        <f>IFERROR(__xludf.DUMMYFUNCTION("""COMPUTED_VALUE"""),"Global Affairs Master")</f>
        <v>Global Affairs Master</v>
      </c>
      <c r="W13" s="61" t="str">
        <f>IFERROR(__xludf.DUMMYFUNCTION("""COMPUTED_VALUE"""),"Global Affairs")</f>
        <v>Global Affairs</v>
      </c>
      <c r="X13" s="61" t="str">
        <f>IFERROR(__xludf.DUMMYFUNCTION("""COMPUTED_VALUE"""),"University Mohammed VI Polytechnic")</f>
        <v>University Mohammed VI Polytechnic</v>
      </c>
      <c r="Y13" s="61" t="str">
        <f>IFERROR(__xludf.DUMMYFUNCTION("""COMPUTED_VALUE"""),"Yes")</f>
        <v>Yes</v>
      </c>
      <c r="Z13" s="61" t="str">
        <f>IFERROR(__xludf.DUMMYFUNCTION("""COMPUTED_VALUE"""),"morocco")</f>
        <v>morocco</v>
      </c>
      <c r="AA13" s="61" t="str">
        <f>IFERROR(__xludf.DUMMYFUNCTION("""COMPUTED_VALUE"""),"No")</f>
        <v>No</v>
      </c>
      <c r="AB13" s="61" t="str">
        <f>IFERROR(__xludf.DUMMYFUNCTION("""COMPUTED_VALUE"""),"University Mohammed VI Polytechnic")</f>
        <v>University Mohammed VI Polytechnic</v>
      </c>
      <c r="AC13" s="61" t="str">
        <f>IFERROR(__xludf.DUMMYFUNCTION("""COMPUTED_VALUE"""),"yes")</f>
        <v>yes</v>
      </c>
      <c r="AD13" s="61" t="str">
        <f>IFERROR(__xludf.DUMMYFUNCTION("""COMPUTED_VALUE"""),"Yes. I have volunteered and engaged with several student and community-oriented initiatives. I supported an educational programme for students affected by the Al Haouz earthquake, providing mentoring, academic guidance and support to secondary school stud"&amp;"ents. I also volunteered with Moroccan Smile, contributing to community-based engagement and social support activities.  At university, I was involved in the African ID Club, where I helped organize a Model African Union simulation, contributing to logist"&amp;"ics, participant coordination and content preparation around African governance and diplomacy. I also served as co-editor of the first FGSES student magazine, contributing to article writing, editorial planning and the development of a student-led platfor"&amp;"m for ideas, culture and public debate.")</f>
        <v>Yes. I have volunteered and engaged with several student and community-oriented initiatives. I supported an educational programme for students affected by the Al Haouz earthquake, providing mentoring, academic guidance and support to secondary school students. I also volunteered with Moroccan Smile, contributing to community-based engagement and social support activities.  At university, I was involved in the African ID Club, where I helped organize a Model African Union simulation, contributing to logistics, participant coordination and content preparation around African governance and diplomacy. I also served as co-editor of the first FGSES student magazine, contributing to article writing, editorial planning and the development of a student-led platform for ideas, culture and public debate.</v>
      </c>
      <c r="AE13" s="61"/>
      <c r="AF13" s="61" t="str">
        <f>IFERROR(__xludf.DUMMYFUNCTION("""COMPUTED_VALUE"""),"Volunteer, mentor, organizing member and co-editor.")</f>
        <v>Volunteer, mentor, organizing member and co-editor.</v>
      </c>
      <c r="AG13" s="61" t="str">
        <f>IFERROR(__xludf.DUMMYFUNCTION("""COMPUTED_VALUE"""),"3–4 years.")</f>
        <v>3–4 years.</v>
      </c>
      <c r="AH13" s="61" t="str">
        <f>IFERROR(__xludf.DUMMYFUNCTION("""COMPUTED_VALUE"""),"No")</f>
        <v>No</v>
      </c>
      <c r="AI13" s="61"/>
      <c r="AJ13" s="61" t="str">
        <f>IFERROR(__xludf.DUMMYFUNCTION("""COMPUTED_VALUE"""),"I founded the AGORA Club")</f>
        <v>I founded the AGORA Club</v>
      </c>
      <c r="AK13" s="61" t="str">
        <f>IFERROR(__xludf.DUMMYFUNCTION("""COMPUTED_VALUE"""),"AGORA Club is a student-led debate and public speaking organization I co-founded at UM6P-FGSES. Its aim is to promote critical thinking, public speaking, civic engagement and informed dialogue on political, social and international issues among students.")</f>
        <v>AGORA Club is a student-led debate and public speaking organization I co-founded at UM6P-FGSES. Its aim is to promote critical thinking, public speaking, civic engagement and informed dialogue on political, social and international issues among students.</v>
      </c>
      <c r="AL13" s="61" t="str">
        <f>IFERROR(__xludf.DUMMYFUNCTION("""COMPUTED_VALUE"""),"I have experience in community engagement, event coordination, protocol support, stakeholder communication, editorial writing, qualitative research and policy-oriented analysis. I am also skilled in public speaking, debate moderation, intercultural commun"&amp;"ication, teamwork and project coordination")</f>
        <v>I have experience in community engagement, event coordination, protocol support, stakeholder communication, editorial writing, qualitative research and policy-oriented analysis. I am also skilled in public speaking, debate moderation, intercultural communication, teamwork and project coordination</v>
      </c>
      <c r="AM13" s="61" t="str">
        <f>IFERROR(__xludf.DUMMYFUNCTION("""COMPUTED_VALUE"""),"CSCD Radia Chaoui CV .pdf")</f>
        <v>CSCD Radia Chaoui CV .pdf</v>
      </c>
      <c r="AN13" s="61" t="str">
        <f>IFERROR(__xludf.DUMMYFUNCTION("""COMPUTED_VALUE"""),"Yes. I believe changing the world does not always start with grand gestures, but with becoming responsible, curious and committed individuals who act with integrity in their own communities. Through Moroccan Smile, I helped distribute Ramadan food baskets"&amp;" to families in need, and after the Al Haouz earthquake, I supported students whose education had been disrupted. These experiences taught me that while I may not change the entire world at once, I can make a concrete difference in someone’s world through"&amp;" education, solidarity and consistent community engagement.")</f>
        <v>Yes. I believe changing the world does not always start with grand gestures, but with becoming responsible, curious and committed individuals who act with integrity in their own communities. Through Moroccan Smile, I helped distribute Ramadan food baskets to families in need, and after the Al Haouz earthquake, I supported students whose education had been disrupted. These experiences taught me that while I may not change the entire world at once, I can make a concrete difference in someone’s world through education, solidarity and consistent community engagement.</v>
      </c>
      <c r="AO13" s="61" t="str">
        <f>IFERROR(__xludf.DUMMYFUNCTION("""COMPUTED_VALUE"""),"If I understand the question as asking which country carries strong diplomatic significance today, I would choose my own country, Morocco. Morocco has increasingly become a meaningful diplomatic actor because of its position between Africa, Europe, the Ar"&amp;"ab world and the Atlantic space. Its influence is not only political or economic, but also cultural. The 2022 World Cup showed how football can become a powerful soft power instrument: Morocco’s historic performance created global visibility, pride and em"&amp;"otional connection far beyond its borders. Moroccan culture, food, hospitality, music, tourism and diaspora also contribute to this influence by making the country recognizable and appreciated internationally. For me, Morocco’s diplomatic significance lie"&amp;"s in its ability to act as a bridge between regions while using culture, identity and human connection as tools of dialogue.")</f>
        <v>If I understand the question as asking which country carries strong diplomatic significance today, I would choose my own country, Morocco. Morocco has increasingly become a meaningful diplomatic actor because of its position between Africa, Europe, the Arab world and the Atlantic space. Its influence is not only political or economic, but also cultural. The 2022 World Cup showed how football can become a powerful soft power instrument: Morocco’s historic performance created global visibility, pride and emotional connection far beyond its borders. Moroccan culture, food, hospitality, music, tourism and diaspora also contribute to this influence by making the country recognizable and appreciated internationally. For me, Morocco’s diplomatic significance lies in its ability to act as a bridge between regions while using culture, identity and human connection as tools of dialogue.</v>
      </c>
      <c r="AP13" s="61" t="str">
        <f>IFERROR(__xludf.DUMMYFUNCTION("""COMPUTED_VALUE"""),"I believe youth play an essential role in diplomacy because they are not only future decision-makers, but also present actors of dialogue, representation and intercultural understanding. Diplomacy is no longer limited to official negotiations between stat"&amp;"es; it also happens through exchanges between students, civil society, institutions and communities.
I understood this more clearly when I was selected as an official UM6P-FGSES delegate for the Youth of the World programme in Paris, in partnership with "&amp;"Sciences Po. During this academic diplomacy mission, we met with the Moroccan Ambassador, members of the French Senate, and representatives of several French institutions. In those moments, we were not diplomats in the formal sense, but we were representi"&amp;"ng our university, our country and our generation at our own level. This experience taught me that young people can contribute to diplomacy by asking questions, sharing perspectives, challenging stereotypes and building bridges between societies.
This is"&amp;" also how I relate to public diplomacy. For me, public diplomacy is the human and cultural side of international relations. It is about how countries and communities are perceived through dialogue, education, narratives, culture and people-to-people conne"&amp;"ctions.")</f>
        <v>I believe youth play an essential role in diplomacy because they are not only future decision-makers, but also present actors of dialogue, representation and intercultural understanding. Diplomacy is no longer limited to official negotiations between states; it also happens through exchanges between students, civil society, institutions and communities.
I understood this more clearly when I was selected as an official UM6P-FGSES delegate for the Youth of the World programme in Paris, in partnership with Sciences Po. During this academic diplomacy mission, we met with the Moroccan Ambassador, members of the French Senate, and representatives of several French institutions. In those moments, we were not diplomats in the formal sense, but we were representing our university, our country and our generation at our own level. This experience taught me that young people can contribute to diplomacy by asking questions, sharing perspectives, challenging stereotypes and building bridges between societies.
This is also how I relate to public diplomacy. For me, public diplomacy is the human and cultural side of international relations. It is about how countries and communities are perceived through dialogue, education, narratives, culture and people-to-people connections.</v>
      </c>
      <c r="AQ13" s="61" t="str">
        <f>IFERROR(__xludf.DUMMYFUNCTION("""COMPUTED_VALUE"""),"To me, passion is the force that makes effort feel meaningful. I strongly relate to Albert Einstein’s quote: “I have no special talents. I am only passionately curious.” Passion is what pushes me to keep asking questions, even when the answers are complex"&amp;" or uncomfortable.
I experienced this deeply while working on my Master’s thesis on cultural appropriation in the fashion industry and its impact on indigenous and local communities. The more I researched this topic, the more I wanted to understand the e"&amp;"thical, cultural and legal dimensions behind it. Even when I was tired, my interest kept pushing me to read books, academic articles and hundred-page theses without feeling bored. I wanted to go further, refine my arguments and understand the communities "&amp;"behind the debate, not only the legal concepts. Passion therefore helps me achieve my goals because it gives me discipline, resilience and the desire to always do better.")</f>
        <v>To me, passion is the force that makes effort feel meaningful. I strongly relate to Albert Einstein’s quote: “I have no special talents. I am only passionately curious.” Passion is what pushes me to keep asking questions, even when the answers are complex or uncomfortable.
I experienced this deeply while working on my Master’s thesis on cultural appropriation in the fashion industry and its impact on indigenous and local communities. The more I researched this topic, the more I wanted to understand the ethical, cultural and legal dimensions behind it. Even when I was tired, my interest kept pushing me to read books, academic articles and hundred-page theses without feeling bored. I wanted to go further, refine my arguments and understand the communities behind the debate, not only the legal concepts. Passion therefore helps me achieve my goals because it gives me discipline, resilience and the desire to always do better.</v>
      </c>
      <c r="AR13" s="61" t="str">
        <f>IFERROR(__xludf.DUMMYFUNCTION("""COMPUTED_VALUE"""),"Yes, I consider myself a creative person, especially through writing, storytelling and the way I build narratives. For me, creativity is not only about producing art; it is also about finding the right words, images and angles to make people understand an"&amp;" idea, feel connected to it and remember it.
Writing has always been one of the ways I express myself best. Through academic work, editorial projects and public communication, I learned how to transform complex subjects into structured and meaningful nar"&amp;"ratives. Whether I am writing about cultural heritage, youth engagement, identity or international relations, I try to connect facts with human stories.
This can become an effective public diplomacy strategy because public diplomacy depends on how a mess"&amp;"age is framed and received. A good strategy is not only about promoting a country or an institution; it is about creating trust, emotional connection and mutual understanding. Through storytelling, cultural references, digital content, speeches, articles "&amp;"or campaigns, creativity can turn diplomatic messages into narratives that people can relate to. I believe my creativity can help build public diplomacy initiatives that are intellectually strong, culturally sensitive and emotionally engaging.")</f>
        <v>Yes, I consider myself a creative person, especially through writing, storytelling and the way I build narratives. For me, creativity is not only about producing art; it is also about finding the right words, images and angles to make people understand an idea, feel connected to it and remember it.
Writing has always been one of the ways I express myself best. Through academic work, editorial projects and public communication, I learned how to transform complex subjects into structured and meaningful narratives. Whether I am writing about cultural heritage, youth engagement, identity or international relations, I try to connect facts with human stories.
This can become an effective public diplomacy strategy because public diplomacy depends on how a message is framed and received. A good strategy is not only about promoting a country or an institution; it is about creating trust, emotional connection and mutual understanding. Through storytelling, cultural references, digital content, speeches, articles or campaigns, creativity can turn diplomatic messages into narratives that people can relate to. I believe my creativity can help build public diplomacy initiatives that are intellectually strong, culturally sensitive and emotionally engaging.</v>
      </c>
      <c r="AS13" s="61" t="str">
        <f>IFERROR(__xludf.DUMMYFUNCTION("""COMPUTED_VALUE"""),"Yes")</f>
        <v>Yes</v>
      </c>
      <c r="AT13" s="61" t="str">
        <f>IFERROR(__xludf.DUMMYFUNCTION("""COMPUTED_VALUE"""),"Yes")</f>
        <v>Yes</v>
      </c>
      <c r="AU13" s="61" t="str">
        <f>IFERROR(__xludf.DUMMYFUNCTION("""COMPUTED_VALUE"""),"Arts, Culture &amp; Soft Power")</f>
        <v>Arts, Culture &amp; Soft Power</v>
      </c>
      <c r="AV13" s="61" t="str">
        <f>IFERROR(__xludf.DUMMYFUNCTION("""COMPUTED_VALUE"""),"I discovered CSCD around two years ago through its international youth diplomacy programmes and online platforms. I previously applied for the Dubai Summit and was accepted for a partially funded place, but I could not attend due to personal and financial"&amp;" reasons. Since then, I have continued to follow CSCD’s activities, as its focus on strategy, cultural diplomacy, public diplomacy and intercultural dialogue strongly aligns with my academic interests and future career goals. This motivated me to strength"&amp;"en my profile and apply again with a clearer purpose for the Jakarta Summit.")</f>
        <v>I discovered CSCD around two years ago through its international youth diplomacy programmes and online platforms. I previously applied for the Dubai Summit and was accepted for a partially funded place, but I could not attend due to personal and financial reasons. Since then, I have continued to follow CSCD’s activities, as its focus on strategy, cultural diplomacy, public diplomacy and intercultural dialogue strongly aligns with my academic interests and future career goals. This motivated me to strengthen my profile and apply again with a clearer purpose for the Jakarta Summit.</v>
      </c>
      <c r="AW13" s="61" t="str">
        <f>IFERROR(__xludf.DUMMYFUNCTION("""COMPUTED_VALUE"""),"Public Diplomacy in the 21st Century")</f>
        <v>Public Diplomacy in the 21st Century</v>
      </c>
      <c r="AX13" s="66" t="str">
        <f>IFERROR(__xludf.DUMMYFUNCTION("""COMPUTED_VALUE"""),"Yes")</f>
        <v>Yes</v>
      </c>
      <c r="AY13" s="66">
        <f>IFERROR(__xludf.DUMMYFUNCTION("""COMPUTED_VALUE"""),15.99)</f>
        <v>15.99</v>
      </c>
      <c r="AZ13" s="61"/>
      <c r="BA13" s="61"/>
      <c r="BB13" s="61"/>
      <c r="BC13" s="61"/>
      <c r="BD13" s="61"/>
      <c r="BE13" s="61"/>
      <c r="BF13" s="61"/>
      <c r="BG13" s="61"/>
      <c r="BH13" s="61"/>
      <c r="BI13" s="61"/>
      <c r="BJ13" s="61"/>
      <c r="BK13" s="61"/>
      <c r="BL13" s="61"/>
      <c r="BM13" s="61"/>
      <c r="BN13" s="61"/>
      <c r="BO13" s="61"/>
      <c r="BP13" s="61"/>
      <c r="BQ13" s="61"/>
      <c r="BR13" s="61"/>
    </row>
    <row r="14" ht="15.75" customHeight="1">
      <c r="A14" s="61" t="str">
        <f>IFERROR(__xludf.DUMMYFUNCTION("""COMPUTED_VALUE"""),"Self")</f>
        <v>Self</v>
      </c>
      <c r="B14" s="62">
        <f>IFERROR(__xludf.DUMMYFUNCTION("""COMPUTED_VALUE"""),21.0)</f>
        <v>21</v>
      </c>
      <c r="C14" s="61" t="str">
        <f>IFERROR(__xludf.DUMMYFUNCTION("""COMPUTED_VALUE"""),"Self")</f>
        <v>Self</v>
      </c>
      <c r="D14" s="63" t="str">
        <f>IFERROR(__xludf.DUMMYFUNCTION("""COMPUTED_VALUE"""),"Submitted")</f>
        <v>Submitted</v>
      </c>
      <c r="E14" s="63">
        <f>IFERROR(__xludf.DUMMYFUNCTION("""COMPUTED_VALUE"""),46176.46319444444)</f>
        <v>46176.46319</v>
      </c>
      <c r="F14" s="61" t="str">
        <f>IFERROR(__xludf.DUMMYFUNCTION("""COMPUTED_VALUE"""),"NIZAR AKIL")</f>
        <v>NIZAR AKIL</v>
      </c>
      <c r="G14" s="61" t="str">
        <f>IFERROR(__xludf.DUMMYFUNCTION("""COMPUTED_VALUE"""),"NIZAR AKIL")</f>
        <v>NIZAR AKIL</v>
      </c>
      <c r="H14" s="61" t="str">
        <f>IFERROR(__xludf.DUMMYFUNCTION("""COMPUTED_VALUE"""),"akeeloof@gmail.com")</f>
        <v>akeeloof@gmail.com</v>
      </c>
      <c r="I14" s="61" t="str">
        <f>IFERROR(__xludf.DUMMYFUNCTION("""COMPUTED_VALUE"""),"akeeloof1988@hotmail.com")</f>
        <v>akeeloof1988@hotmail.com</v>
      </c>
      <c r="J14" s="61" t="str">
        <f>IFERROR(__xludf.DUMMYFUNCTION("""COMPUTED_VALUE"""),"CEVATPAŞA MAH. BARBAROS HAYRETTİN PAŞA CAD. NO:16 İÇ KAPI NO:2, BAYRAMPAŞA, Istanbul, Türkiye")</f>
        <v>CEVATPAŞA MAH. BARBAROS HAYRETTİN PAŞA CAD. NO:16 İÇ KAPI NO:2, BAYRAMPAŞA, Istanbul, Türkiye</v>
      </c>
      <c r="K14" s="61" t="str">
        <f>IFERROR(__xludf.DUMMYFUNCTION("""COMPUTED_VALUE"""),"Syrian")</f>
        <v>Syrian</v>
      </c>
      <c r="L14" s="64" t="str">
        <f>IFERROR(__xludf.DUMMYFUNCTION("""COMPUTED_VALUE"""),"+905359341411")</f>
        <v>+905359341411</v>
      </c>
      <c r="M14" s="64">
        <f>IFERROR(__xludf.DUMMYFUNCTION("""COMPUTED_VALUE"""),32497.0)</f>
        <v>32497</v>
      </c>
      <c r="N14" s="61" t="str">
        <f>IFERROR(__xludf.DUMMYFUNCTION("""COMPUTED_VALUE"""),"N02128206")</f>
        <v>N02128206</v>
      </c>
      <c r="O14" s="61" t="str">
        <f>IFERROR(__xludf.DUMMYFUNCTION("""COMPUTED_VALUE"""),"+905310869357")</f>
        <v>+905310869357</v>
      </c>
      <c r="P14" s="65" t="str">
        <f>IFERROR(__xludf.DUMMYFUNCTION("""COMPUTED_VALUE"""),"https://www.linkedin.com/in/nizar-akil-9a60488b")</f>
        <v>https://www.linkedin.com/in/nizar-akil-9a60488b</v>
      </c>
      <c r="Q14" s="61"/>
      <c r="R14" s="61"/>
      <c r="S14" s="61" t="str">
        <f>IFERROR(__xludf.DUMMYFUNCTION("""COMPUTED_VALUE"""),"Screenshot_٢٠٢٦٠٥٢٣_٢١٥٧٢٨_Adobe Acrobat.jpg")</f>
        <v>Screenshot_٢٠٢٦٠٥٢٣_٢١٥٧٢٨_Adobe Acrobat.jpg</v>
      </c>
      <c r="T14" s="61" t="str">
        <f>IFERROR(__xludf.DUMMYFUNCTION("""COMPUTED_VALUE"""),"٢٠٢٣٠١١٧_٢٢١٤١٥.jpg")</f>
        <v>٢٠٢٣٠١١٧_٢٢١٤١٥.jpg</v>
      </c>
      <c r="U14" s="61" t="str">
        <f>IFERROR(__xludf.DUMMYFUNCTION("""COMPUTED_VALUE"""),"University education")</f>
        <v>University education</v>
      </c>
      <c r="V14" s="61" t="str">
        <f>IFERROR(__xludf.DUMMYFUNCTION("""COMPUTED_VALUE"""),"Bachelor's degree")</f>
        <v>Bachelor's degree</v>
      </c>
      <c r="W14" s="61" t="str">
        <f>IFERROR(__xludf.DUMMYFUNCTION("""COMPUTED_VALUE"""),"International Relations")</f>
        <v>International Relations</v>
      </c>
      <c r="X14" s="61" t="str">
        <f>IFERROR(__xludf.DUMMYFUNCTION("""COMPUTED_VALUE"""),"Anadolu University")</f>
        <v>Anadolu University</v>
      </c>
      <c r="Y14" s="61" t="str">
        <f>IFERROR(__xludf.DUMMYFUNCTION("""COMPUTED_VALUE"""),"No")</f>
        <v>No</v>
      </c>
      <c r="Z14" s="61" t="str">
        <f>IFERROR(__xludf.DUMMYFUNCTION("""COMPUTED_VALUE"""),"Turkey")</f>
        <v>Turkey</v>
      </c>
      <c r="AA14" s="61" t="str">
        <f>IFERROR(__xludf.DUMMYFUNCTION("""COMPUTED_VALUE"""),"No")</f>
        <v>No</v>
      </c>
      <c r="AB14" s="61"/>
      <c r="AC14" s="61" t="str">
        <f>IFERROR(__xludf.DUMMYFUNCTION("""COMPUTED_VALUE"""),"Yes")</f>
        <v>Yes</v>
      </c>
      <c r="AD14" s="61" t="str">
        <f>IFERROR(__xludf.DUMMYFUNCTION("""COMPUTED_VALUE"""),"No, I have not had the opportunity to volunteer for a social organization yet, but I am open and interested in doing so in the future.")</f>
        <v>No, I have not had the opportunity to volunteer for a social organization yet, but I am open and interested in doing so in the future.</v>
      </c>
      <c r="AE14" s="61"/>
      <c r="AF14" s="61"/>
      <c r="AG14" s="61"/>
      <c r="AH14" s="61" t="str">
        <f>IFERROR(__xludf.DUMMYFUNCTION("""COMPUTED_VALUE"""),"No")</f>
        <v>No</v>
      </c>
      <c r="AI14" s="61"/>
      <c r="AJ14" s="61"/>
      <c r="AK14" s="61"/>
      <c r="AL14" s="61" t="str">
        <f>IFERROR(__xludf.DUMMYFUNCTION("""COMPUTED_VALUE"""),"My skillset includes strong communication skills in Arabic, good proficiency in English, and basic to intermediate knowledge of Turkish. I am experienced in handling official documents, administrative tasks, and written correspondence. I have basic comput"&amp;"er skills, including Microsoft Office applications. I am detail-oriented, organized, and able to manage tasks with responsibility and patience. I am also a quick learner and adaptable to new environments.")</f>
        <v>My skillset includes strong communication skills in Arabic, good proficiency in English, and basic to intermediate knowledge of Turkish. I am experienced in handling official documents, administrative tasks, and written correspondence. I have basic computer skills, including Microsoft Office applications. I am detail-oriented, organized, and able to manage tasks with responsibility and patience. I am also a quick learner and adaptable to new environments.</v>
      </c>
      <c r="AM14" s="61" t="str">
        <f>IFERROR(__xludf.DUMMYFUNCTION("""COMPUTED_VALUE"""),"CV_2026.pdf")</f>
        <v>CV_2026.pdf</v>
      </c>
      <c r="AN14" s="61" t="str">
        <f>IFERROR(__xludf.DUMMYFUNCTION("""COMPUTED_VALUE"""),"Yes, I have often thought about contributing to positive change in the world, especially in ways that improve understanding and fairness between people. In my personal capacity, I have focused on being helpful and responsible in my daily interactions, off"&amp;"ering support to people around me when possible, and maintaining respectful communication. I have also tried to improve myself continuously through learning languages and developing my communication and administrative skills, so I can be more useful in pr"&amp;"ofessional and community settings. While I have not been part of formal large-scale initiatives yet, I am motivated to contribute more actively in structured social or professional projects in the future.")</f>
        <v>Yes, I have often thought about contributing to positive change in the world, especially in ways that improve understanding and fairness between people. In my personal capacity, I have focused on being helpful and responsible in my daily interactions, offering support to people around me when possible, and maintaining respectful communication. I have also tried to improve myself continuously through learning languages and developing my communication and administrative skills, so I can be more useful in professional and community settings. While I have not been part of formal large-scale initiatives yet, I am motivated to contribute more actively in structured social or professional projects in the future.</v>
      </c>
      <c r="AO14" s="61" t="str">
        <f>IFERROR(__xludf.DUMMYFUNCTION("""COMPUTED_VALUE"""),"A diplomatically significant country is one that plays a central role in maintaining global stability, shaping international decisions, and influencing economic and security policies. The United States is often considered highly significant due to its glo"&amp;"bal alliances, military presence, and leadership in international organizations. China is also highly influential because of its economic power and growing diplomatic reach across Asia, Africa, and beyond. The European Union, as a collective entity, is si"&amp;"gnificant for its regulatory power and unified diplomatic voice on many global issues. Ultimately, diplomatic significance depends on a country’s ability to build relationships, mediate conflicts, and influence global cooperation.")</f>
        <v>A diplomatically significant country is one that plays a central role in maintaining global stability, shaping international decisions, and influencing economic and security policies. The United States is often considered highly significant due to its global alliances, military presence, and leadership in international organizations. China is also highly influential because of its economic power and growing diplomatic reach across Asia, Africa, and beyond. The European Union, as a collective entity, is significant for its regulatory power and unified diplomatic voice on many global issues. Ultimately, diplomatic significance depends on a country’s ability to build relationships, mediate conflicts, and influence global cooperation.</v>
      </c>
      <c r="AP14" s="61" t="str">
        <f>IFERROR(__xludf.DUMMYFUNCTION("""COMPUTED_VALUE"""),"Youth play an increasingly important role in diplomacy by acting as connectors between cultures, ideas, and societies. In a globalized world, young people often communicate across borders more naturally through education, travel, and digital platforms. Th"&amp;"ey help reduce misunderstandings, challenge stereotypes, and promote mutual respect. Youth can also contribute to diplomacy through academic exchanges, volunteer work, international organizations, and online engagement that fosters dialogue rather than di"&amp;"vision.
Public diplomacy, in my understanding, is the effort by a country or individuals to build relationships and influence foreign publics through communication, cultural exchange, and shared values rather than formal political negotiations. It focuses"&amp;" on trust-building and long-term understanding between societies.
I relate to the idea of public diplomacy as a form of human connection beyond official institutions. As someone with a multicultural and multilingual background, I see value in clear commun"&amp;"ication and respectful interaction between people of different origins. Even in everyday life, exchanging ideas, translating languages, and understanding different perspectives can contribute to a more peaceful and cooperative global environment. In this "&amp;"sense, public diplomacy is not only practiced by governments, but also by individuals who act responsibly and thoughtfully in cross-cultural settings.")</f>
        <v>Youth play an increasingly important role in diplomacy by acting as connectors between cultures, ideas, and societies. In a globalized world, young people often communicate across borders more naturally through education, travel, and digital platforms. They help reduce misunderstandings, challenge stereotypes, and promote mutual respect. Youth can also contribute to diplomacy through academic exchanges, volunteer work, international organizations, and online engagement that fosters dialogue rather than division.
Public diplomacy, in my understanding, is the effort by a country or individuals to build relationships and influence foreign publics through communication, cultural exchange, and shared values rather than formal political negotiations. It focuses on trust-building and long-term understanding between societies.
I relate to the idea of public diplomacy as a form of human connection beyond official institutions. As someone with a multicultural and multilingual background, I see value in clear communication and respectful interaction between people of different origins. Even in everyday life, exchanging ideas, translating languages, and understanding different perspectives can contribute to a more peaceful and cooperative global environment. In this sense, public diplomacy is not only practiced by governments, but also by individuals who act responsibly and thoughtfully in cross-cultural settings.</v>
      </c>
      <c r="AQ14" s="61" t="str">
        <f>IFERROR(__xludf.DUMMYFUNCTION("""COMPUTED_VALUE"""),"Passion is a strong inner drive or deep interest that motivates a person to pursue something with energy, consistency, and dedication. It is more than just liking something; it is a sense of purpose that keeps a person focused even when challenges arise o"&amp;"r progress is slow.
Passion plays an important role in achieving goals because it provides persistence. When difficulties appear, passion helps a person continue instead of giving up. It also increases motivation, making learning and improvement more natu"&amp;"ral and enjoyable. A passionate person is more likely to invest time in developing skills, seeking opportunities, and overcoming obstacles.
In my own understanding, passion helps turn goals into long-term commitment rather than temporary effort. It gives "&amp;"direction and meaning to daily actions and helps maintain discipline over time. Without passion, goals may feel like obligations, but with passion, they become a personal journey of growth and achievement.")</f>
        <v>Passion is a strong inner drive or deep interest that motivates a person to pursue something with energy, consistency, and dedication. It is more than just liking something; it is a sense of purpose that keeps a person focused even when challenges arise or progress is slow.
Passion plays an important role in achieving goals because it provides persistence. When difficulties appear, passion helps a person continue instead of giving up. It also increases motivation, making learning and improvement more natural and enjoyable. A passionate person is more likely to invest time in developing skills, seeking opportunities, and overcoming obstacles.
In my own understanding, passion helps turn goals into long-term commitment rather than temporary effort. It gives direction and meaning to daily actions and helps maintain discipline over time. Without passion, goals may feel like obligations, but with passion, they become a personal journey of growth and achievement.</v>
      </c>
      <c r="AR14" s="61" t="str">
        <f>IFERROR(__xludf.DUMMYFUNCTION("""COMPUTED_VALUE"""),"Yes, I consider myself a creative person, especially in thinking about communication, language, and human interaction. Creativity for me is not only artistic expression, but also the ability to find new ways to explain ideas, solve problems, and connect p"&amp;"eople from different backgrounds.
This creativity can be turned into an effective public diplomacy strategy by focusing on clear and culturally sensitive communication. Public diplomacy relies on building trust and understanding between societies, and cre"&amp;"ativity helps in presenting messages in a way that is relatable and meaningful to different audiences. For example, storytelling, translation, and adapting messages to cultural contexts can make communication more impactful.
In practical terms, my languag"&amp;"e skills and interest in different cultures can be used to bridge communication gaps. I can help simplify complex ideas, translate perspectives accurately, and encourage dialogue between people of different backgrounds. Creativity also allows me to presen"&amp;"t information in a more engaging and human way, rather than purely formal communication.
By combining creativity with responsibility and awareness, public diplomacy becomes more effective. It transforms from simply delivering messages into building real c"&amp;"onnections between people, which is essential for long-term international understanding and cooperation.")</f>
        <v>Yes, I consider myself a creative person, especially in thinking about communication, language, and human interaction. Creativity for me is not only artistic expression, but also the ability to find new ways to explain ideas, solve problems, and connect people from different backgrounds.
This creativity can be turned into an effective public diplomacy strategy by focusing on clear and culturally sensitive communication. Public diplomacy relies on building trust and understanding between societies, and creativity helps in presenting messages in a way that is relatable and meaningful to different audiences. For example, storytelling, translation, and adapting messages to cultural contexts can make communication more impactful.
In practical terms, my language skills and interest in different cultures can be used to bridge communication gaps. I can help simplify complex ideas, translate perspectives accurately, and encourage dialogue between people of different backgrounds. Creativity also allows me to present information in a more engaging and human way, rather than purely formal communication.
By combining creativity with responsibility and awareness, public diplomacy becomes more effective. It transforms from simply delivering messages into building real connections between people, which is essential for long-term international understanding and cooperation.</v>
      </c>
      <c r="AS14" s="61" t="str">
        <f>IFERROR(__xludf.DUMMYFUNCTION("""COMPUTED_VALUE"""),"Yes")</f>
        <v>Yes</v>
      </c>
      <c r="AT14" s="61" t="str">
        <f>IFERROR(__xludf.DUMMYFUNCTION("""COMPUTED_VALUE"""),"Yes")</f>
        <v>Yes</v>
      </c>
      <c r="AU14" s="61" t="str">
        <f>IFERROR(__xludf.DUMMYFUNCTION("""COMPUTED_VALUE"""),"Strategy, Peace &amp; Cultural Diplomacy")</f>
        <v>Strategy, Peace &amp; Cultural Diplomacy</v>
      </c>
      <c r="AV14" s="61" t="str">
        <f>IFERROR(__xludf.DUMMYFUNCTION("""COMPUTED_VALUE"""),"I discovered this position on LinkedIn, and I was subsequently invited to apply via email.")</f>
        <v>I discovered this position on LinkedIn, and I was subsequently invited to apply via email.</v>
      </c>
      <c r="AW14" s="61" t="str">
        <f>IFERROR(__xludf.DUMMYFUNCTION("""COMPUTED_VALUE"""),"Global politics, Diplomacy and Identities.")</f>
        <v>Global politics, Diplomacy and Identities.</v>
      </c>
      <c r="AX14" s="66" t="str">
        <f>IFERROR(__xludf.DUMMYFUNCTION("""COMPUTED_VALUE"""),"Yes")</f>
        <v>Yes</v>
      </c>
      <c r="AY14" s="66">
        <f>IFERROR(__xludf.DUMMYFUNCTION("""COMPUTED_VALUE"""),15.99)</f>
        <v>15.99</v>
      </c>
      <c r="AZ14" s="61"/>
      <c r="BA14" s="61"/>
      <c r="BB14" s="61"/>
      <c r="BC14" s="61"/>
      <c r="BD14" s="61"/>
      <c r="BE14" s="61"/>
      <c r="BF14" s="61"/>
      <c r="BG14" s="61"/>
      <c r="BH14" s="61"/>
      <c r="BI14" s="61"/>
      <c r="BJ14" s="61"/>
      <c r="BK14" s="61"/>
      <c r="BL14" s="61"/>
      <c r="BM14" s="61"/>
      <c r="BN14" s="61"/>
      <c r="BO14" s="61"/>
      <c r="BP14" s="61"/>
      <c r="BQ14" s="61"/>
      <c r="BR14" s="61"/>
    </row>
    <row r="15" ht="15.75" customHeight="1">
      <c r="A15" s="61" t="str">
        <f>IFERROR(__xludf.DUMMYFUNCTION("""COMPUTED_VALUE"""),"Partial")</f>
        <v>Partial</v>
      </c>
      <c r="B15" s="62">
        <f>IFERROR(__xludf.DUMMYFUNCTION("""COMPUTED_VALUE"""),25.0)</f>
        <v>25</v>
      </c>
      <c r="C15" s="61" t="str">
        <f>IFERROR(__xludf.DUMMYFUNCTION("""COMPUTED_VALUE"""),"Partial")</f>
        <v>Partial</v>
      </c>
      <c r="D15" s="63" t="str">
        <f>IFERROR(__xludf.DUMMYFUNCTION("""COMPUTED_VALUE"""),"Submitted")</f>
        <v>Submitted</v>
      </c>
      <c r="E15" s="63">
        <f>IFERROR(__xludf.DUMMYFUNCTION("""COMPUTED_VALUE"""),46181.89097222222)</f>
        <v>46181.89097</v>
      </c>
      <c r="F15" s="61" t="str">
        <f>IFERROR(__xludf.DUMMYFUNCTION("""COMPUTED_VALUE"""),"Isatou Joof")</f>
        <v>Isatou Joof</v>
      </c>
      <c r="G15" s="61" t="str">
        <f>IFERROR(__xludf.DUMMYFUNCTION("""COMPUTED_VALUE"""),"Isatou Joof")</f>
        <v>Isatou Joof</v>
      </c>
      <c r="H15" s="61" t="str">
        <f>IFERROR(__xludf.DUMMYFUNCTION("""COMPUTED_VALUE"""),"isatoujoof2011@gmail.com")</f>
        <v>isatoujoof2011@gmail.com</v>
      </c>
      <c r="I15" s="61" t="str">
        <f>IFERROR(__xludf.DUMMYFUNCTION("""COMPUTED_VALUE"""),"isatou.joof@wfp.org")</f>
        <v>isatou.joof@wfp.org</v>
      </c>
      <c r="J15" s="61" t="str">
        <f>IFERROR(__xludf.DUMMYFUNCTION("""COMPUTED_VALUE"""),"10 Ebou Jatta Street, Fajikunda Layout, Serrekunda East, Kanifing Municipality, Gambia")</f>
        <v>10 Ebou Jatta Street, Fajikunda Layout, Serrekunda East, Kanifing Municipality, Gambia</v>
      </c>
      <c r="K15" s="61" t="str">
        <f>IFERROR(__xludf.DUMMYFUNCTION("""COMPUTED_VALUE"""),"Gambian")</f>
        <v>Gambian</v>
      </c>
      <c r="L15" s="64" t="str">
        <f>IFERROR(__xludf.DUMMYFUNCTION("""COMPUTED_VALUE"""),"+2203141063")</f>
        <v>+2203141063</v>
      </c>
      <c r="M15" s="64">
        <f>IFERROR(__xludf.DUMMYFUNCTION("""COMPUTED_VALUE"""),33197.0)</f>
        <v>33197</v>
      </c>
      <c r="N15" s="61" t="str">
        <f>IFERROR(__xludf.DUMMYFUNCTION("""COMPUTED_VALUE"""),"PC177460")</f>
        <v>PC177460</v>
      </c>
      <c r="O15" s="61" t="str">
        <f>IFERROR(__xludf.DUMMYFUNCTION("""COMPUTED_VALUE"""),"+2209811400")</f>
        <v>+2209811400</v>
      </c>
      <c r="P15" s="67" t="str">
        <f>IFERROR(__xludf.DUMMYFUNCTION("""COMPUTED_VALUE"""),"https://www.linkedin.com/in/isatou-joof-80058179/")</f>
        <v>https://www.linkedin.com/in/isatou-joof-80058179/</v>
      </c>
      <c r="Q15" s="61"/>
      <c r="R15" s="61" t="str">
        <f>IFERROR(__xludf.DUMMYFUNCTION("""COMPUTED_VALUE"""),"Isatou Joof Jeng")</f>
        <v>Isatou Joof Jeng</v>
      </c>
      <c r="S15" s="61" t="str">
        <f>IFERROR(__xludf.DUMMYFUNCTION("""COMPUTED_VALUE"""),"Passport Isatou Joof.pdf")</f>
        <v>Passport Isatou Joof.pdf</v>
      </c>
      <c r="T15" s="61" t="str">
        <f>IFERROR(__xludf.DUMMYFUNCTION("""COMPUTED_VALUE"""),"Isatou.jpg")</f>
        <v>Isatou.jpg</v>
      </c>
      <c r="U15" s="61" t="str">
        <f>IFERROR(__xludf.DUMMYFUNCTION("""COMPUTED_VALUE"""),"MSc")</f>
        <v>MSc</v>
      </c>
      <c r="V15" s="61" t="str">
        <f>IFERROR(__xludf.DUMMYFUNCTION("""COMPUTED_VALUE"""),"International Relations and Diplomacy")</f>
        <v>International Relations and Diplomacy</v>
      </c>
      <c r="W15" s="61" t="str">
        <f>IFERROR(__xludf.DUMMYFUNCTION("""COMPUTED_VALUE"""),"International Relations and Diplomacy")</f>
        <v>International Relations and Diplomacy</v>
      </c>
      <c r="X15" s="61" t="str">
        <f>IFERROR(__xludf.DUMMYFUNCTION("""COMPUTED_VALUE"""),"University of The Gambia")</f>
        <v>University of The Gambia</v>
      </c>
      <c r="Y15" s="61" t="str">
        <f>IFERROR(__xludf.DUMMYFUNCTION("""COMPUTED_VALUE"""),"No")</f>
        <v>No</v>
      </c>
      <c r="Z15" s="61" t="str">
        <f>IFERROR(__xludf.DUMMYFUNCTION("""COMPUTED_VALUE"""),"The Gambia")</f>
        <v>The Gambia</v>
      </c>
      <c r="AA15" s="61" t="str">
        <f>IFERROR(__xludf.DUMMYFUNCTION("""COMPUTED_VALUE"""),"No")</f>
        <v>No</v>
      </c>
      <c r="AB15" s="61"/>
      <c r="AC15" s="61" t="str">
        <f>IFERROR(__xludf.DUMMYFUNCTION("""COMPUTED_VALUE"""),"Yes")</f>
        <v>Yes</v>
      </c>
      <c r="AD15" s="61" t="str">
        <f>IFERROR(__xludf.DUMMYFUNCTION("""COMPUTED_VALUE"""),"The Gambia Red Cross Society")</f>
        <v>The Gambia Red Cross Society</v>
      </c>
      <c r="AE15" s="61"/>
      <c r="AF15" s="61" t="str">
        <f>IFERROR(__xludf.DUMMYFUNCTION("""COMPUTED_VALUE"""),"Senior Volunteer")</f>
        <v>Senior Volunteer</v>
      </c>
      <c r="AG15" s="61" t="str">
        <f>IFERROR(__xludf.DUMMYFUNCTION("""COMPUTED_VALUE"""),"17")</f>
        <v>17</v>
      </c>
      <c r="AH15" s="61" t="str">
        <f>IFERROR(__xludf.DUMMYFUNCTION("""COMPUTED_VALUE"""),"Yes")</f>
        <v>Yes</v>
      </c>
      <c r="AI15" s="61" t="str">
        <f>IFERROR(__xludf.DUMMYFUNCTION("""COMPUTED_VALUE"""),"Community feedback Mechanism (CFM) Manager, at United Nations World Food Program Gambia")</f>
        <v>Community feedback Mechanism (CFM) Manager, at United Nations World Food Program Gambia</v>
      </c>
      <c r="AJ15" s="61" t="str">
        <f>IFERROR(__xludf.DUMMYFUNCTION("""COMPUTED_VALUE"""),"No")</f>
        <v>No</v>
      </c>
      <c r="AK15" s="61"/>
      <c r="AL15" s="61" t="str">
        <f>IFERROR(__xludf.DUMMYFUNCTION("""COMPUTED_VALUE"""),"Project Management, community engagement, stakeholder coordination, teamwork, communication.")</f>
        <v>Project Management, community engagement, stakeholder coordination, teamwork, communication.</v>
      </c>
      <c r="AM15" s="61" t="str">
        <f>IFERROR(__xludf.DUMMYFUNCTION("""COMPUTED_VALUE"""),"CV Isatou Joof.pdf")</f>
        <v>CV Isatou Joof.pdf</v>
      </c>
      <c r="AN15" s="61" t="str">
        <f>IFERROR(__xludf.DUMMYFUNCTION("""COMPUTED_VALUE"""),"YES. I believe meaningful change begins with serving people and empowering communities. In my personal and professional journey, I have dedicated myself to supporting vulnerable populations through community engagement, volunteerism, and humanitarian init"&amp;"iatives. I actively advocate for inclusive participation, ensuring that people's voices are heard in decisions that affect their lives, through my work with communities affected by disasters, I have promoted awareness, preparedness, and sustainable soluti"&amp;"ons. While changing the world is a long journey, I strive to make a positive impact every day by fostering hope, resilience, and collaboration.")</f>
        <v>YES. I believe meaningful change begins with serving people and empowering communities. In my personal and professional journey, I have dedicated myself to supporting vulnerable populations through community engagement, volunteerism, and humanitarian initiatives. I actively advocate for inclusive participation, ensuring that people's voices are heard in decisions that affect their lives, through my work with communities affected by disasters, I have promoted awareness, preparedness, and sustainable solutions. While changing the world is a long journey, I strive to make a positive impact every day by fostering hope, resilience, and collaboration.</v>
      </c>
      <c r="AO15" s="61" t="str">
        <f>IFERROR(__xludf.DUMMYFUNCTION("""COMPUTED_VALUE"""),"In today's interconnected world, diplomatic significance is not determined solely by power but by the ability to build partnerships and influence global dialogue. I consider Turkey to be one of the most diplomatically significant countries because it serv"&amp;"es as a bridge between east and West, connecting different cultures, regions, and perspectives. Its active role in mediation, humanitarian diplomacy, and international cooperation demonstrates the importance of dialogue in addressing global challenges. Ho"&amp;"wever, diplomacy is increasingly shared among many nations, and true global progress depends on cooperation, mutual respect, and collective action among countries rather than the influence of a single state.")</f>
        <v>In today's interconnected world, diplomatic significance is not determined solely by power but by the ability to build partnerships and influence global dialogue. I consider Turkey to be one of the most diplomatically significant countries because it serves as a bridge between east and West, connecting different cultures, regions, and perspectives. Its active role in mediation, humanitarian diplomacy, and international cooperation demonstrates the importance of dialogue in addressing global challenges. However, diplomacy is increasingly shared among many nations, and true global progress depends on cooperation, mutual respect, and collective action among countries rather than the influence of a single state.</v>
      </c>
      <c r="AP15" s="61" t="str">
        <f>IFERROR(__xludf.DUMMYFUNCTION("""COMPUTED_VALUE"""),"Youth are powerful agents of change and essential contributors to diplomacy in the twenty-first century. They bring innovation, energy, and fresh perspectives to global discussions while promoting understanding across cultures and communities. Through edu"&amp;"cation, technology, social media, and community engagement, young people can influence public opinion, strengthen international cooperation, and advocate for solutions to global challenges. 
I strongly relate to the concept of public diplomacy because it "&amp;"focuses on connecting people, building trust, and promoting mutual understanding. Public diplomacy extends beyond governments; it involves citizens, communities, and young leaders acting as ambassadors of dialogue and cooperation. Growing up in The Gambia"&amp;" and working closely with diverse communities has taught me the value of listening, respect, and inclusive communication. My academic work on climate resilience and my experience in humanitarian and development initiatives have reinforced my belief that s"&amp;"ustainable solutions emerge when people work together across cultures and borders. 
I see public diplomacy as an opportunity to amplify underrepresented voices, foster global solidarity, and create meaningful partnerships. As a young professional, I aspir"&amp;"e to contribute to international dialogue and use diplomacy as a tool for peace, sustainable development, and positive social change.")</f>
        <v>Youth are powerful agents of change and essential contributors to diplomacy in the twenty-first century. They bring innovation, energy, and fresh perspectives to global discussions while promoting understanding across cultures and communities. Through education, technology, social media, and community engagement, young people can influence public opinion, strengthen international cooperation, and advocate for solutions to global challenges. 
I strongly relate to the concept of public diplomacy because it focuses on connecting people, building trust, and promoting mutual understanding. Public diplomacy extends beyond governments; it involves citizens, communities, and young leaders acting as ambassadors of dialogue and cooperation. Growing up in The Gambia and working closely with diverse communities has taught me the value of listening, respect, and inclusive communication. My academic work on climate resilience and my experience in humanitarian and development initiatives have reinforced my belief that sustainable solutions emerge when people work together across cultures and borders. 
I see public diplomacy as an opportunity to amplify underrepresented voices, foster global solidarity, and create meaningful partnerships. As a young professional, I aspire to contribute to international dialogue and use diplomacy as a tool for peace, sustainable development, and positive social change.</v>
      </c>
      <c r="AQ15" s="61" t="str">
        <f>IFERROR(__xludf.DUMMYFUNCTION("""COMPUTED_VALUE"""),"Passion is the inner drive that inspires individuals to pursue a purpose greater that themselves. It provides motivation, determination, and resilience, especially during difficult times. Passion transforms goals from simple ambitions into meaningful comm"&amp;"itments. My passion lies in humanitarian service, community development, and creating opportunities for vulnerable populations. This passion motivated me to pursue higher education, engage in community initiatives, and contribute to efforts that improve p"&amp;"eople's wellbeing. It has taught me perseverance, continuous learning, and the importance of serving others. Passion helps me stay focused on my goals because it reminds me why I started what and what impact I hope to achieve. It encourages me to overcome"&amp;" challenges, seek innovative solutions, and remain committed to personal and professional growth. I believe that passion, when combines with knowledge, integrity, and hard work, becomes a powerful force for creating positive change in society.")</f>
        <v>Passion is the inner drive that inspires individuals to pursue a purpose greater that themselves. It provides motivation, determination, and resilience, especially during difficult times. Passion transforms goals from simple ambitions into meaningful commitments. My passion lies in humanitarian service, community development, and creating opportunities for vulnerable populations. This passion motivated me to pursue higher education, engage in community initiatives, and contribute to efforts that improve people's wellbeing. It has taught me perseverance, continuous learning, and the importance of serving others. Passion helps me stay focused on my goals because it reminds me why I started what and what impact I hope to achieve. It encourages me to overcome challenges, seek innovative solutions, and remain committed to personal and professional growth. I believe that passion, when combines with knowledge, integrity, and hard work, becomes a powerful force for creating positive change in society.</v>
      </c>
      <c r="AR15" s="61" t="str">
        <f>IFERROR(__xludf.DUMMYFUNCTION("""COMPUTED_VALUE"""),"YES, I consider myself a creative person because I enjoy finding innovative ways to connect with people, solve problems, and communicate ideas. Creativity is essential in diplomacy because it helps bridge cultural differences and encourages meaningful eng"&amp;"agement. To transform creativity into an effective public diplomacy strategy, I would focus on storytelling, cultural exchange, and digital engagement. Stories have the power to humanize global issues and create emotional connections between people from d"&amp;"ifferent backgrounds. By sharing powerful experiences and community success stories, diplomacy becomes more relatable and impactful. 
I would also use social media and digital platforms to promote intercultural dialogue, highlight diverse perspectives, an"&amp;"d engage young people in discussions about global challenges. Cultural activities can further strengthen people-to-people connections and foster mutual understanding. An effective public diplomacy strategy should be inclusive, authentic, and people center"&amp;"ed. By combining creativity with empathy and communication, it is possible to build trust, challenge stereotypes, and inspire collaboration. In an increasingly interconnected world, creative diplomacy can serve as a peaceful tool for promoting peace, unde"&amp;"rstanding, and sustainable development.")</f>
        <v>YES, I consider myself a creative person because I enjoy finding innovative ways to connect with people, solve problems, and communicate ideas. Creativity is essential in diplomacy because it helps bridge cultural differences and encourages meaningful engagement. To transform creativity into an effective public diplomacy strategy, I would focus on storytelling, cultural exchange, and digital engagement. Stories have the power to humanize global issues and create emotional connections between people from different backgrounds. By sharing powerful experiences and community success stories, diplomacy becomes more relatable and impactful. 
I would also use social media and digital platforms to promote intercultural dialogue, highlight diverse perspectives, and engage young people in discussions about global challenges. Cultural activities can further strengthen people-to-people connections and foster mutual understanding. An effective public diplomacy strategy should be inclusive, authentic, and people centered. By combining creativity with empathy and communication, it is possible to build trust, challenge stereotypes, and inspire collaboration. In an increasingly interconnected world, creative diplomacy can serve as a peaceful tool for promoting peace, understanding, and sustainable development.</v>
      </c>
      <c r="AS15" s="61" t="str">
        <f>IFERROR(__xludf.DUMMYFUNCTION("""COMPUTED_VALUE"""),"Yes")</f>
        <v>Yes</v>
      </c>
      <c r="AT15" s="61" t="str">
        <f>IFERROR(__xludf.DUMMYFUNCTION("""COMPUTED_VALUE"""),"Yes")</f>
        <v>Yes</v>
      </c>
      <c r="AU15" s="61" t="str">
        <f>IFERROR(__xludf.DUMMYFUNCTION("""COMPUTED_VALUE"""),"International Public Service Relations")</f>
        <v>International Public Service Relations</v>
      </c>
      <c r="AV15" s="61" t="str">
        <f>IFERROR(__xludf.DUMMYFUNCTION("""COMPUTED_VALUE"""),"Scholarship portals")</f>
        <v>Scholarship portals</v>
      </c>
      <c r="AW15" s="61" t="str">
        <f>IFERROR(__xludf.DUMMYFUNCTION("""COMPUTED_VALUE"""),"Public Diplomacy, International Relations, and Humanitarian Diplomacy")</f>
        <v>Public Diplomacy, International Relations, and Humanitarian Diplomacy</v>
      </c>
      <c r="AX15" s="66" t="str">
        <f>IFERROR(__xludf.DUMMYFUNCTION("""COMPUTED_VALUE"""),"Yes")</f>
        <v>Yes</v>
      </c>
      <c r="AY15" s="66">
        <f>IFERROR(__xludf.DUMMYFUNCTION("""COMPUTED_VALUE"""),15.99)</f>
        <v>15.99</v>
      </c>
      <c r="AZ15" s="61"/>
      <c r="BA15" s="61"/>
      <c r="BB15" s="61"/>
      <c r="BC15" s="61"/>
      <c r="BD15" s="61"/>
      <c r="BE15" s="61"/>
      <c r="BF15" s="61"/>
      <c r="BG15" s="61"/>
      <c r="BH15" s="61"/>
      <c r="BI15" s="61"/>
      <c r="BJ15" s="61"/>
      <c r="BK15" s="61"/>
      <c r="BL15" s="61"/>
      <c r="BM15" s="61"/>
      <c r="BN15" s="61"/>
      <c r="BO15" s="61"/>
      <c r="BP15" s="61"/>
      <c r="BQ15" s="61"/>
      <c r="BR15" s="61"/>
    </row>
    <row r="16" ht="15.75" customHeight="1">
      <c r="A16" s="61" t="str">
        <f>IFERROR(__xludf.DUMMYFUNCTION("""COMPUTED_VALUE"""),"")</f>
        <v/>
      </c>
      <c r="B16" s="62">
        <f>IFERROR(__xludf.DUMMYFUNCTION("""COMPUTED_VALUE"""),26.0)</f>
        <v>26</v>
      </c>
      <c r="C16" s="61" t="str">
        <f>IFERROR(__xludf.DUMMYFUNCTION("""COMPUTED_VALUE"""),"Self")</f>
        <v>Self</v>
      </c>
      <c r="D16" s="63" t="str">
        <f>IFERROR(__xludf.DUMMYFUNCTION("""COMPUTED_VALUE"""),"Submitted")</f>
        <v>Submitted</v>
      </c>
      <c r="E16" s="63">
        <f>IFERROR(__xludf.DUMMYFUNCTION("""COMPUTED_VALUE"""),46184.77986111111)</f>
        <v>46184.77986</v>
      </c>
      <c r="F16" s="61" t="str">
        <f>IFERROR(__xludf.DUMMYFUNCTION("""COMPUTED_VALUE"""),"Velda Wong Shu Yi")</f>
        <v>Velda Wong Shu Yi</v>
      </c>
      <c r="G16" s="61" t="str">
        <f>IFERROR(__xludf.DUMMYFUNCTION("""COMPUTED_VALUE"""),"Velda Wong Shu Yi")</f>
        <v>Velda Wong Shu Yi</v>
      </c>
      <c r="H16" s="61" t="str">
        <f>IFERROR(__xludf.DUMMYFUNCTION("""COMPUTED_VALUE"""),"veldawongsy@gmail.com")</f>
        <v>veldawongsy@gmail.com</v>
      </c>
      <c r="I16" s="61" t="str">
        <f>IFERROR(__xludf.DUMMYFUNCTION("""COMPUTED_VALUE"""),"veldawong@outlook.com")</f>
        <v>veldawong@outlook.com</v>
      </c>
      <c r="J16" s="61" t="str">
        <f>IFERROR(__xludf.DUMMYFUNCTION("""COMPUTED_VALUE"""),"916 Hougang Ave 9 #07-06, Hougang Ave 9, Singapore")</f>
        <v>916 Hougang Ave 9 #07-06, Hougang Ave 9, Singapore</v>
      </c>
      <c r="K16" s="61" t="str">
        <f>IFERROR(__xludf.DUMMYFUNCTION("""COMPUTED_VALUE"""),"Singaporean")</f>
        <v>Singaporean</v>
      </c>
      <c r="L16" s="64" t="str">
        <f>IFERROR(__xludf.DUMMYFUNCTION("""COMPUTED_VALUE"""),"+6591177298")</f>
        <v>+6591177298</v>
      </c>
      <c r="M16" s="64">
        <f>IFERROR(__xludf.DUMMYFUNCTION("""COMPUTED_VALUE"""),34315.0)</f>
        <v>34315</v>
      </c>
      <c r="N16" s="61" t="str">
        <f>IFERROR(__xludf.DUMMYFUNCTION("""COMPUTED_VALUE"""),"K3536909E")</f>
        <v>K3536909E</v>
      </c>
      <c r="O16" s="61" t="str">
        <f>IFERROR(__xludf.DUMMYFUNCTION("""COMPUTED_VALUE"""),"91144280")</f>
        <v>91144280</v>
      </c>
      <c r="P16" s="65" t="str">
        <f>IFERROR(__xludf.DUMMYFUNCTION("""COMPUTED_VALUE"""),"https://www.linkedin.com/in/velda-wong/")</f>
        <v>https://www.linkedin.com/in/velda-wong/</v>
      </c>
      <c r="Q16" s="61"/>
      <c r="R16" s="61"/>
      <c r="S16" s="61" t="str">
        <f>IFERROR(__xludf.DUMMYFUNCTION("""COMPUTED_VALUE"""),"photo_2024-06-18_20-10-00.jpg")</f>
        <v>photo_2024-06-18_20-10-00.jpg</v>
      </c>
      <c r="T16" s="61" t="str">
        <f>IFERROR(__xludf.DUMMYFUNCTION("""COMPUTED_VALUE"""),"Velda Wong.jpg")</f>
        <v>Velda Wong.jpg</v>
      </c>
      <c r="U16" s="61" t="str">
        <f>IFERROR(__xludf.DUMMYFUNCTION("""COMPUTED_VALUE"""),"Bachelors")</f>
        <v>Bachelors</v>
      </c>
      <c r="V16" s="61" t="str">
        <f>IFERROR(__xludf.DUMMYFUNCTION("""COMPUTED_VALUE"""),"Bachelor of Arts (Merit)")</f>
        <v>Bachelor of Arts (Merit)</v>
      </c>
      <c r="W16" s="61" t="str">
        <f>IFERROR(__xludf.DUMMYFUNCTION("""COMPUTED_VALUE"""),"Communications and New Media")</f>
        <v>Communications and New Media</v>
      </c>
      <c r="X16" s="61" t="str">
        <f>IFERROR(__xludf.DUMMYFUNCTION("""COMPUTED_VALUE"""),"National University of Singapore")</f>
        <v>National University of Singapore</v>
      </c>
      <c r="Y16" s="61" t="str">
        <f>IFERROR(__xludf.DUMMYFUNCTION("""COMPUTED_VALUE"""),"No")</f>
        <v>No</v>
      </c>
      <c r="Z16" s="61" t="str">
        <f>IFERROR(__xludf.DUMMYFUNCTION("""COMPUTED_VALUE"""),"Singapore")</f>
        <v>Singapore</v>
      </c>
      <c r="AA16" s="61" t="str">
        <f>IFERROR(__xludf.DUMMYFUNCTION("""COMPUTED_VALUE"""),"No")</f>
        <v>No</v>
      </c>
      <c r="AB16" s="61"/>
      <c r="AC16" s="61" t="str">
        <f>IFERROR(__xludf.DUMMYFUNCTION("""COMPUTED_VALUE"""),"Yes")</f>
        <v>Yes</v>
      </c>
      <c r="AD16" s="61" t="str">
        <f>IFERROR(__xludf.DUMMYFUNCTION("""COMPUTED_VALUE"""),"Over-The-Rainbow")</f>
        <v>Over-The-Rainbow</v>
      </c>
      <c r="AE16" s="65" t="str">
        <f>IFERROR(__xludf.DUMMYFUNCTION("""COMPUTED_VALUE"""),"https://otrlistens.net")</f>
        <v>https://otrlistens.net</v>
      </c>
      <c r="AF16" s="61" t="str">
        <f>IFERROR(__xludf.DUMMYFUNCTION("""COMPUTED_VALUE"""),"Volunteer")</f>
        <v>Volunteer</v>
      </c>
      <c r="AG16" s="61" t="str">
        <f>IFERROR(__xludf.DUMMYFUNCTION("""COMPUTED_VALUE"""),"6")</f>
        <v>6</v>
      </c>
      <c r="AH16" s="61" t="str">
        <f>IFERROR(__xludf.DUMMYFUNCTION("""COMPUTED_VALUE"""),"Yes")</f>
        <v>Yes</v>
      </c>
      <c r="AI16" s="61" t="str">
        <f>IFERROR(__xludf.DUMMYFUNCTION("""COMPUTED_VALUE"""),"Teaching (Music and Academic) and Marketing")</f>
        <v>Teaching (Music and Academic) and Marketing</v>
      </c>
      <c r="AJ16" s="61" t="str">
        <f>IFERROR(__xludf.DUMMYFUNCTION("""COMPUTED_VALUE"""),"No")</f>
        <v>No</v>
      </c>
      <c r="AK16" s="61"/>
      <c r="AL16" s="61" t="str">
        <f>IFERROR(__xludf.DUMMYFUNCTION("""COMPUTED_VALUE"""),"Writing, creative content creation, marketing, systems, policy, operations, facilitation, research, project management, change management, programmes and partnerships, leadership development, scholarships and sponsorship framework, learning and developmen"&amp;"t, capability development, trade negotation")</f>
        <v>Writing, creative content creation, marketing, systems, policy, operations, facilitation, research, project management, change management, programmes and partnerships, leadership development, scholarships and sponsorship framework, learning and development, capability development, trade negotation</v>
      </c>
      <c r="AM16" s="61" t="str">
        <f>IFERROR(__xludf.DUMMYFUNCTION("""COMPUTED_VALUE"""),"Singapore_Velda Wong.pdf")</f>
        <v>Singapore_Velda Wong.pdf</v>
      </c>
      <c r="AN16" s="61" t="str">
        <f>IFERROR(__xludf.DUMMYFUNCTION("""COMPUTED_VALUE"""),"Yes. I want to improve workplace cultures to be more compassionate, empathetic and forward-thinking. Therefore, I created a telegram channel, with the support of Singapore Kindness Movement (SKM) to kickstart a series of posts to raise awareness about the"&amp;" importance of being kind at the workplacce and its benefits. With enough traction, we hope to organise onlline support groups to support more people be it employees or employers as I deeply believe in the importance of having high EQ at the workplace, ot"&amp;"her than IQ.")</f>
        <v>Yes. I want to improve workplace cultures to be more compassionate, empathetic and forward-thinking. Therefore, I created a telegram channel, with the support of Singapore Kindness Movement (SKM) to kickstart a series of posts to raise awareness about the importance of being kind at the workplacce and its benefits. With enough traction, we hope to organise onlline support groups to support more people be it employees or employers as I deeply believe in the importance of having high EQ at the workplace, other than IQ.</v>
      </c>
      <c r="AO16" s="61" t="str">
        <f>IFERROR(__xludf.DUMMYFUNCTION("""COMPUTED_VALUE"""),"The most diplomatically significant countries today are China and the United States, followed by rising middle powers like Türkiye, Japan, and France. According to the Lowy Global Diplomacy Index, these states have the world’s largest diplomatic networks "&amp;"— giving them the greatest ability to shape global rules, build coalitions, and influence international outcomes.")</f>
        <v>The most diplomatically significant countries today are China and the United States, followed by rising middle powers like Türkiye, Japan, and France. According to the Lowy Global Diplomacy Index, these states have the world’s largest diplomatic networks — giving them the greatest ability to shape global rules, build coalitions, and influence international outcomes.</v>
      </c>
      <c r="AP16" s="61" t="str">
        <f>IFERROR(__xludf.DUMMYFUNCTION("""COMPUTED_VALUE"""),"Youth's role in diplomacy is to find relevantt, new, innovative and creative ways to build and sustain relationships across borders to drive positive outcomes for all parties involved and ideally, a unified new global order with the rule of law applied to"&amp;" all. As a young Singaporean, I see youth as essential partners in diplomacy because we are deeply connected to global conversations — especially online. We shape narratives, build cross‑border communities, and bring authenticity to public diplomacy effor"&amp;"ts. Personally, public diplomacy is about making Singapore’s story relatable to foreign audiences to drive cross border partnerships in the form of MOUs or trade agreements in the realm of trade and investment, digital and green economies. Through my work"&amp;" in the arts and community engagement, I’ve seen how cultures-sharing and storytelling can build trust and understanding — which is ultimately what diplomacy seeks to achieve.")</f>
        <v>Youth's role in diplomacy is to find relevantt, new, innovative and creative ways to build and sustain relationships across borders to drive positive outcomes for all parties involved and ideally, a unified new global order with the rule of law applied to all. As a young Singaporean, I see youth as essential partners in diplomacy because we are deeply connected to global conversations — especially online. We shape narratives, build cross‑border communities, and bring authenticity to public diplomacy efforts. Personally, public diplomacy is about making Singapore’s story relatable to foreign audiences to drive cross border partnerships in the form of MOUs or trade agreements in the realm of trade and investment, digital and green economies. Through my work in the arts and community engagement, I’ve seen how cultures-sharing and storytelling can build trust and understanding — which is ultimately what diplomacy seeks to achieve.</v>
      </c>
      <c r="AQ16" s="61" t="str">
        <f>IFERROR(__xludf.DUMMYFUNCTION("""COMPUTED_VALUE"""),"My passion is in international relations and diplomacy, finding ways to advance economies' interests in the world through forming like-minded stragetic partnerships. It helps me to be connected with different people from different parts of the world to le"&amp;"arn more about their cultures, contexts, histories in order to shape a better world for all and future generations to come.")</f>
        <v>My passion is in international relations and diplomacy, finding ways to advance economies' interests in the world through forming like-minded stragetic partnerships. It helps me to be connected with different people from different parts of the world to learn more about their cultures, contexts, histories in order to shape a better world for all and future generations to come.</v>
      </c>
      <c r="AR16" s="61" t="str">
        <f>IFERROR(__xludf.DUMMYFUNCTION("""COMPUTED_VALUE"""),"Yes. Personally, I would like to compose a song that is equivalent to Michael Jackson's ""Heal The World"" and Knaan's ""Wavin Flag"" to spread the message on the importance of public diplomacy and international peace. Besides this, I would deeply want to"&amp;" work with youth from all over the world to draft a collective statement on how we can work together to improve the state of the world by either a written document or a recorded video (which I have done it before under the ASEAN Youth Forum at https://you"&amp;"tu.be/BE7XS9UitIc) on Youth's Collective Statement to dedicate and commit to micro-plans that we will collaborate on to improve our world according to the SDGs. We need to stress that the coming together and uniting as one world is imperative to the posit"&amp;"ive advanccement of all, and not divisions and silos. By working collectively and collaboratively towards a common mission, youth can work alongside each other and learn how to work together constructively despite our different historical and cultural dif"&amp;"ferences.")</f>
        <v>Yes. Personally, I would like to compose a song that is equivalent to Michael Jackson's "Heal The World" and Knaan's "Wavin Flag" to spread the message on the importance of public diplomacy and international peace. Besides this, I would deeply want to work with youth from all over the world to draft a collective statement on how we can work together to improve the state of the world by either a written document or a recorded video (which I have done it before under the ASEAN Youth Forum at https://youtu.be/BE7XS9UitIc) on Youth's Collective Statement to dedicate and commit to micro-plans that we will collaborate on to improve our world according to the SDGs. We need to stress that the coming together and uniting as one world is imperative to the positive advanccement of all, and not divisions and silos. By working collectively and collaboratively towards a common mission, youth can work alongside each other and learn how to work together constructively despite our different historical and cultural differences.</v>
      </c>
      <c r="AS16" s="61" t="str">
        <f>IFERROR(__xludf.DUMMYFUNCTION("""COMPUTED_VALUE"""),"Yes")</f>
        <v>Yes</v>
      </c>
      <c r="AT16" s="61" t="str">
        <f>IFERROR(__xludf.DUMMYFUNCTION("""COMPUTED_VALUE"""),"Yes")</f>
        <v>Yes</v>
      </c>
      <c r="AU16" s="61" t="str">
        <f>IFERROR(__xludf.DUMMYFUNCTION("""COMPUTED_VALUE"""),"International Public Service Relations")</f>
        <v>International Public Service Relations</v>
      </c>
      <c r="AV16" s="61" t="str">
        <f>IFERROR(__xludf.DUMMYFUNCTION("""COMPUTED_VALUE"""),"Email")</f>
        <v>Email</v>
      </c>
      <c r="AW16" s="61" t="str">
        <f>IFERROR(__xludf.DUMMYFUNCTION("""COMPUTED_VALUE"""),"International Public Service Relations")</f>
        <v>International Public Service Relations</v>
      </c>
      <c r="AX16" s="66" t="str">
        <f>IFERROR(__xludf.DUMMYFUNCTION("""COMPUTED_VALUE"""),"Yes")</f>
        <v>Yes</v>
      </c>
      <c r="AY16" s="66">
        <f>IFERROR(__xludf.DUMMYFUNCTION("""COMPUTED_VALUE"""),15.99)</f>
        <v>15.99</v>
      </c>
      <c r="AZ16" s="61"/>
      <c r="BA16" s="61"/>
      <c r="BB16" s="61"/>
      <c r="BC16" s="61"/>
      <c r="BD16" s="61"/>
      <c r="BE16" s="61"/>
      <c r="BF16" s="61"/>
      <c r="BG16" s="61"/>
      <c r="BH16" s="61"/>
      <c r="BI16" s="61"/>
      <c r="BJ16" s="61"/>
      <c r="BK16" s="61"/>
      <c r="BL16" s="61"/>
      <c r="BM16" s="61"/>
      <c r="BN16" s="61"/>
      <c r="BO16" s="61"/>
      <c r="BP16" s="61"/>
      <c r="BQ16" s="61"/>
      <c r="BR16" s="61"/>
    </row>
    <row r="17" ht="15.75" customHeight="1">
      <c r="A17" s="61" t="str">
        <f>IFERROR(__xludf.DUMMYFUNCTION("""COMPUTED_VALUE"""),"Full")</f>
        <v>Full</v>
      </c>
      <c r="B17" s="62">
        <f>IFERROR(__xludf.DUMMYFUNCTION("""COMPUTED_VALUE"""),27.0)</f>
        <v>27</v>
      </c>
      <c r="C17" s="61" t="str">
        <f>IFERROR(__xludf.DUMMYFUNCTION("""COMPUTED_VALUE"""),"Full")</f>
        <v>Full</v>
      </c>
      <c r="D17" s="63" t="str">
        <f>IFERROR(__xludf.DUMMYFUNCTION("""COMPUTED_VALUE"""),"Submitted")</f>
        <v>Submitted</v>
      </c>
      <c r="E17" s="63">
        <f>IFERROR(__xludf.DUMMYFUNCTION("""COMPUTED_VALUE"""),46185.00277777778)</f>
        <v>46185.00278</v>
      </c>
      <c r="F17" s="61" t="str">
        <f>IFERROR(__xludf.DUMMYFUNCTION("""COMPUTED_VALUE"""),"Fereshteh Sadat Rahimi")</f>
        <v>Fereshteh Sadat Rahimi</v>
      </c>
      <c r="G17" s="61" t="str">
        <f>IFERROR(__xludf.DUMMYFUNCTION("""COMPUTED_VALUE"""),"Fereshteh Sadat Rahimi Haji Abadi")</f>
        <v>Fereshteh Sadat Rahimi Haji Abadi</v>
      </c>
      <c r="H17" s="61" t="str">
        <f>IFERROR(__xludf.DUMMYFUNCTION("""COMPUTED_VALUE"""),"fereshteh.rahimi@ut.ac.ir")</f>
        <v>fereshteh.rahimi@ut.ac.ir</v>
      </c>
      <c r="I17" s="61" t="str">
        <f>IFERROR(__xludf.DUMMYFUNCTION("""COMPUTED_VALUE"""),"rahimifs2023@gmail.com")</f>
        <v>rahimifs2023@gmail.com</v>
      </c>
      <c r="J17" s="61"/>
      <c r="K17" s="61" t="str">
        <f>IFERROR(__xludf.DUMMYFUNCTION("""COMPUTED_VALUE"""),"Iranian")</f>
        <v>Iranian</v>
      </c>
      <c r="L17" s="64" t="str">
        <f>IFERROR(__xludf.DUMMYFUNCTION("""COMPUTED_VALUE"""),"989306995506+")</f>
        <v>989306995506+</v>
      </c>
      <c r="M17" s="64">
        <f>IFERROR(__xludf.DUMMYFUNCTION("""COMPUTED_VALUE"""),33418.0)</f>
        <v>33418</v>
      </c>
      <c r="N17" s="61" t="str">
        <f>IFERROR(__xludf.DUMMYFUNCTION("""COMPUTED_VALUE"""),"P55843494")</f>
        <v>P55843494</v>
      </c>
      <c r="O17" s="61" t="str">
        <f>IFERROR(__xludf.DUMMYFUNCTION("""COMPUTED_VALUE"""),"989306995506+")</f>
        <v>989306995506+</v>
      </c>
      <c r="P17" s="61"/>
      <c r="Q17" s="61" t="str">
        <f>IFERROR(__xludf.DUMMYFUNCTION("""COMPUTED_VALUE"""),"rahimi_f_s_dr")</f>
        <v>rahimi_f_s_dr</v>
      </c>
      <c r="R17" s="61"/>
      <c r="S17" s="61" t="str">
        <f>IFERROR(__xludf.DUMMYFUNCTION("""COMPUTED_VALUE"""),"2026-06-11 22.22.10.jpg")</f>
        <v>2026-06-11 22.22.10.jpg</v>
      </c>
      <c r="T17" s="61" t="str">
        <f>IFERROR(__xludf.DUMMYFUNCTION("""COMPUTED_VALUE"""),"Screenshot 2026-06-11 at 22.23.22.png")</f>
        <v>Screenshot 2026-06-11 at 22.23.22.png</v>
      </c>
      <c r="U17" s="61" t="str">
        <f>IFERROR(__xludf.DUMMYFUNCTION("""COMPUTED_VALUE"""),"PhD candidate")</f>
        <v>PhD candidate</v>
      </c>
      <c r="V17" s="61" t="str">
        <f>IFERROR(__xludf.DUMMYFUNCTION("""COMPUTED_VALUE"""),"North American Studies")</f>
        <v>North American Studies</v>
      </c>
      <c r="W17" s="61"/>
      <c r="X17" s="61" t="str">
        <f>IFERROR(__xludf.DUMMYFUNCTION("""COMPUTED_VALUE"""),"University of Tehran")</f>
        <v>University of Tehran</v>
      </c>
      <c r="Y17" s="61" t="str">
        <f>IFERROR(__xludf.DUMMYFUNCTION("""COMPUTED_VALUE"""),"No")</f>
        <v>No</v>
      </c>
      <c r="Z17" s="61"/>
      <c r="AA17" s="61" t="str">
        <f>IFERROR(__xludf.DUMMYFUNCTION("""COMPUTED_VALUE"""),"No")</f>
        <v>No</v>
      </c>
      <c r="AB17" s="61"/>
      <c r="AC17" s="61" t="str">
        <f>IFERROR(__xludf.DUMMYFUNCTION("""COMPUTED_VALUE"""),"Yes")</f>
        <v>Yes</v>
      </c>
      <c r="AD17" s="61" t="str">
        <f>IFERROR(__xludf.DUMMYFUNCTION("""COMPUTED_VALUE"""),"International Association of Justice Watch (Consultative Status of ECOSOC)")</f>
        <v>International Association of Justice Watch (Consultative Status of ECOSOC)</v>
      </c>
      <c r="AE17" s="61"/>
      <c r="AF17" s="61" t="str">
        <f>IFERROR(__xludf.DUMMYFUNCTION("""COMPUTED_VALUE"""),"Oral presenter for the UN Human Rights Council")</f>
        <v>Oral presenter for the UN Human Rights Council</v>
      </c>
      <c r="AG17" s="61" t="str">
        <f>IFERROR(__xludf.DUMMYFUNCTION("""COMPUTED_VALUE"""),"7")</f>
        <v>7</v>
      </c>
      <c r="AH17" s="61" t="str">
        <f>IFERROR(__xludf.DUMMYFUNCTION("""COMPUTED_VALUE"""),"No")</f>
        <v>No</v>
      </c>
      <c r="AI17" s="61"/>
      <c r="AJ17" s="61" t="str">
        <f>IFERROR(__xludf.DUMMYFUNCTION("""COMPUTED_VALUE"""),"I recently established a NGO named Iran-America Bridge")</f>
        <v>I recently established a NGO named Iran-America Bridge</v>
      </c>
      <c r="AK17" s="61" t="str">
        <f>IFERROR(__xludf.DUMMYFUNCTION("""COMPUTED_VALUE"""),"for dialogue and solidarity between the two nations")</f>
        <v>for dialogue and solidarity between the two nations</v>
      </c>
      <c r="AL17" s="61" t="str">
        <f>IFERROR(__xludf.DUMMYFUNCTION("""COMPUTED_VALUE"""),"Cross-Cultural Communication, Digital Content Creation, Public Speaking, Academic Research, UN Human Rights Activist, Translation")</f>
        <v>Cross-Cultural Communication, Digital Content Creation, Public Speaking, Academic Research, UN Human Rights Activist, Translation</v>
      </c>
      <c r="AM17" s="61" t="str">
        <f>IFERROR(__xludf.DUMMYFUNCTION("""COMPUTED_VALUE"""),"-1941717012824645887_212397987023818.pdf")</f>
        <v>-1941717012824645887_212397987023818.pdf</v>
      </c>
      <c r="AN17" s="61" t="str">
        <f>IFERROR(__xludf.DUMMYFUNCTION("""COMPUTED_VALUE"""),"Honestly yes, but my idea of changing the world became smaller and more realistic over time. I used to think change needs big movements. Now I believe it starts with one conversation between people who are supposed to be enemies.
That is literally what I"&amp;" do. I built an NGO to connect Iranians and Americans at human level. I started a campaign asking Americans to send condolences to Iranian families. I speak at international forums, I submit statements to the UN. Small things. But I have seen how one hone"&amp;"st conversation can shift something in a person permanently. That is enough for me.")</f>
        <v>Honestly yes, but my idea of changing the world became smaller and more realistic over time. I used to think change needs big movements. Now I believe it starts with one conversation between people who are supposed to be enemies.
That is literally what I do. I built an NGO to connect Iranians and Americans at human level. I started a campaign asking Americans to send condolences to Iranian families. I speak at international forums, I submit statements to the UN. Small things. But I have seen how one honest conversation can shift something in a person permanently. That is enough for me.</v>
      </c>
      <c r="AO17" s="61" t="str">
        <f>IFERROR(__xludf.DUMMYFUNCTION("""COMPUTED_VALUE"""),"This is hard to answer without sounding political. But if I am honest — Iran. Not because I am Iranian. Because it is a country that almost every major global conflict somehow passes through. Energy, religion, politics, regional wars, sanctions, cultural "&amp;"misrepresentation. Iran is always in the middle of it whether the world wants it or not.
And yet most people only know Iran from headlines. That gap between the real country and its image is itself a diplomatic problem. I have spent years trying to close"&amp;" that gap from inside. That is probably why I find this question personally meaningful, not just academic.")</f>
        <v>This is hard to answer without sounding political. But if I am honest — Iran. Not because I am Iranian. Because it is a country that almost every major global conflict somehow passes through. Energy, religion, politics, regional wars, sanctions, cultural misrepresentation. Iran is always in the middle of it whether the world wants it or not.
And yet most people only know Iran from headlines. That gap between the real country and its image is itself a diplomatic problem. I have spent years trying to close that gap from inside. That is probably why I find this question personally meaningful, not just academic.</v>
      </c>
      <c r="AP17" s="61" t="str">
        <f>IFERROR(__xludf.DUMMYFUNCTION("""COMPUTED_VALUE"""),"For me passion is not excitement. Excitement fades. Passion is more like something that keeps pulling you back even when you are tired or frustrated or failing.
I realized I was passionate about Iran-US relations not when things were going well but when "&amp;"I kept working on it during the hardest political moments, when there was literally a war threat, when people around me said it was pointless, when I could not see any result. I still could not stop.
That is what passion actually does for your goals. It "&amp;"is not motivation, motivation comes and goes. Passion is more like a direction. When you lose energy or clarity you still know which way to turn.
For me it has meant building an NGO nobody asked me to build, learning things outside my field, working with"&amp;"out payment many times. Not because I am disciplined. Because I genuinely cannot imagine doing anything else.")</f>
        <v>For me passion is not excitement. Excitement fades. Passion is more like something that keeps pulling you back even when you are tired or frustrated or failing.
I realized I was passionate about Iran-US relations not when things were going well but when I kept working on it during the hardest political moments, when there was literally a war threat, when people around me said it was pointless, when I could not see any result. I still could not stop.
That is what passion actually does for your goals. It is not motivation, motivation comes and goes. Passion is more like a direction. When you lose energy or clarity you still know which way to turn.
For me it has meant building an NGO nobody asked me to build, learning things outside my field, working without payment many times. Not because I am disciplined. Because I genuinely cannot imagine doing anything else.</v>
      </c>
      <c r="AQ17" s="61" t="str">
        <f>IFERROR(__xludf.DUMMYFUNCTION("""COMPUTED_VALUE"""),"Honestly I never liked the word passion much. People use it too easily. But I understand what it means when I look at my own life. I did not plan to build an NGO. I did not plan to start a campaign for Iranian children or go speak at international forums "&amp;"about Iran-America relations. These things happened because I could not stay quiet. Something inside kept pushing me even when it was inconvenient, even when nobody was watching, even when there was no reward.
I think that is what passion really is. Not "&amp;"a feeling you have, but something that has you.
And for goals it helps in a very simple way. When you are passionate you do not need to convince yourself every morning to keep going. The question is never whether to continue. Only how.
That has saved me"&amp;" a lot of time honestly.")</f>
        <v>Honestly I never liked the word passion much. People use it too easily. But I understand what it means when I look at my own life. I did not plan to build an NGO. I did not plan to start a campaign for Iranian children or go speak at international forums about Iran-America relations. These things happened because I could not stay quiet. Something inside kept pushing me even when it was inconvenient, even when nobody was watching, even when there was no reward.
I think that is what passion really is. Not a feeling you have, but something that has you.
And for goals it helps in a very simple way. When you are passionate you do not need to convince yourself every morning to keep going. The question is never whether to continue. Only how.
That has saved me a lot of time honestly.</v>
      </c>
      <c r="AR17" s="61" t="str">
        <f>IFERROR(__xludf.DUMMYFUNCTION("""COMPUTED_VALUE"""),"I think I am creative but not in the artistic sense. My creativity is more about finding unexpected connections between things that seem unrelated.
For example, asking Americans to send condolence messages to Iranian families who lost children. On paper "&amp;"that sounds too simple to work. But it worked because it bypassed every political argument and went straight to something human. Nobody can debate a mother's grief. That campaign was creative not because it was complicated but because it found the one ang"&amp;"le that politics cannot block.
That is actually my whole approach to public diplomacy. Governments talk to governments and it usually goes nowhere. But people talk to people and
something shifts. The creative part is figuring out what format, what story"&amp;", what moment makes that conversation possible.
I use video content, academic research, live discussions with international scholars, NGO programs. Each one is a different creative tool for the same goal — making Iran real to people who only know it as a"&amp;" headline.
I think effective public diplomacy is not about being clever. It is about being honest in a creative way. Finding the human detail that breaks through the noise. That is something I genuinely think about every day.")</f>
        <v>I think I am creative but not in the artistic sense. My creativity is more about finding unexpected connections between things that seem unrelated.
For example, asking Americans to send condolence messages to Iranian families who lost children. On paper that sounds too simple to work. But it worked because it bypassed every political argument and went straight to something human. Nobody can debate a mother's grief. That campaign was creative not because it was complicated but because it found the one angle that politics cannot block.
That is actually my whole approach to public diplomacy. Governments talk to governments and it usually goes nowhere. But people talk to people and
something shifts. The creative part is figuring out what format, what story, what moment makes that conversation possible.
I use video content, academic research, live discussions with international scholars, NGO programs. Each one is a different creative tool for the same goal — making Iran real to people who only know it as a headline.
I think effective public diplomacy is not about being clever. It is about being honest in a creative way. Finding the human detail that breaks through the noise. That is something I genuinely think about every day.</v>
      </c>
      <c r="AS17" s="61" t="str">
        <f>IFERROR(__xludf.DUMMYFUNCTION("""COMPUTED_VALUE"""),"Yes")</f>
        <v>Yes</v>
      </c>
      <c r="AT17" s="61" t="str">
        <f>IFERROR(__xludf.DUMMYFUNCTION("""COMPUTED_VALUE"""),"Yes")</f>
        <v>Yes</v>
      </c>
      <c r="AU17" s="61" t="str">
        <f>IFERROR(__xludf.DUMMYFUNCTION("""COMPUTED_VALUE"""),"Philosophy, Media &amp; Diplomacy in International Relations")</f>
        <v>Philosophy, Media &amp; Diplomacy in International Relations</v>
      </c>
      <c r="AV17" s="61" t="str">
        <f>IFERROR(__xludf.DUMMYFUNCTION("""COMPUTED_VALUE"""),"Social Media")</f>
        <v>Social Media</v>
      </c>
      <c r="AW17" s="61"/>
      <c r="AX17" s="66" t="str">
        <f>IFERROR(__xludf.DUMMYFUNCTION("""COMPUTED_VALUE"""),"Yes")</f>
        <v>Yes</v>
      </c>
      <c r="AY17" s="66">
        <f>IFERROR(__xludf.DUMMYFUNCTION("""COMPUTED_VALUE"""),15.99)</f>
        <v>15.99</v>
      </c>
      <c r="AZ17" s="61"/>
      <c r="BA17" s="61"/>
      <c r="BB17" s="61"/>
      <c r="BC17" s="61"/>
      <c r="BD17" s="61"/>
      <c r="BE17" s="61"/>
      <c r="BF17" s="61"/>
      <c r="BG17" s="61"/>
      <c r="BH17" s="61"/>
      <c r="BI17" s="61"/>
      <c r="BJ17" s="61"/>
      <c r="BK17" s="61"/>
      <c r="BL17" s="61"/>
      <c r="BM17" s="61"/>
      <c r="BN17" s="61"/>
      <c r="BO17" s="61"/>
      <c r="BP17" s="61"/>
      <c r="BQ17" s="61"/>
      <c r="BR17" s="61"/>
    </row>
    <row r="18" ht="15.75" customHeight="1">
      <c r="A18" s="61" t="str">
        <f>IFERROR(__xludf.DUMMYFUNCTION("""COMPUTED_VALUE"""),"")</f>
        <v/>
      </c>
      <c r="B18" s="62">
        <f>IFERROR(__xludf.DUMMYFUNCTION("""COMPUTED_VALUE"""),28.0)</f>
        <v>28</v>
      </c>
      <c r="C18" s="61" t="str">
        <f>IFERROR(__xludf.DUMMYFUNCTION("""COMPUTED_VALUE"""),"Self")</f>
        <v>Self</v>
      </c>
      <c r="D18" s="63" t="str">
        <f>IFERROR(__xludf.DUMMYFUNCTION("""COMPUTED_VALUE"""),"Submitted")</f>
        <v>Submitted</v>
      </c>
      <c r="E18" s="63">
        <f>IFERROR(__xludf.DUMMYFUNCTION("""COMPUTED_VALUE"""),46185.62222222222)</f>
        <v>46185.62222</v>
      </c>
      <c r="F18" s="61" t="str">
        <f>IFERROR(__xludf.DUMMYFUNCTION("""COMPUTED_VALUE"""),"Veronika Toth")</f>
        <v>Veronika Toth</v>
      </c>
      <c r="G18" s="61" t="str">
        <f>IFERROR(__xludf.DUMMYFUNCTION("""COMPUTED_VALUE"""),"Tóth Veronika")</f>
        <v>Tóth Veronika</v>
      </c>
      <c r="H18" s="61" t="str">
        <f>IFERROR(__xludf.DUMMYFUNCTION("""COMPUTED_VALUE"""),"veronika.tth25@gmail.com")</f>
        <v>veronika.tth25@gmail.com</v>
      </c>
      <c r="I18" s="61" t="str">
        <f>IFERROR(__xludf.DUMMYFUNCTION("""COMPUTED_VALUE"""),"t.verocs@gmail.com")</f>
        <v>t.verocs@gmail.com</v>
      </c>
      <c r="J18" s="61"/>
      <c r="K18" s="61" t="str">
        <f>IFERROR(__xludf.DUMMYFUNCTION("""COMPUTED_VALUE"""),"Hungary")</f>
        <v>Hungary</v>
      </c>
      <c r="L18" s="64" t="str">
        <f>IFERROR(__xludf.DUMMYFUNCTION("""COMPUTED_VALUE"""),"+36307508020")</f>
        <v>+36307508020</v>
      </c>
      <c r="M18" s="64">
        <f>IFERROR(__xludf.DUMMYFUNCTION("""COMPUTED_VALUE"""),37432.0)</f>
        <v>37432</v>
      </c>
      <c r="N18" s="61" t="str">
        <f>IFERROR(__xludf.DUMMYFUNCTION("""COMPUTED_VALUE"""),"BT7640722")</f>
        <v>BT7640722</v>
      </c>
      <c r="O18" s="61" t="str">
        <f>IFERROR(__xludf.DUMMYFUNCTION("""COMPUTED_VALUE"""),"+36307367210")</f>
        <v>+36307367210</v>
      </c>
      <c r="P18" s="61"/>
      <c r="Q18" s="61"/>
      <c r="R18" s="61"/>
      <c r="S18" s="61" t="str">
        <f>IFERROR(__xludf.DUMMYFUNCTION("""COMPUTED_VALUE"""),"PASSPORT.pdf")</f>
        <v>PASSPORT.pdf</v>
      </c>
      <c r="T18" s="61" t="str">
        <f>IFERROR(__xludf.DUMMYFUNCTION("""COMPUTED_VALUE"""),"PMA.jpg")</f>
        <v>PMA.jpg</v>
      </c>
      <c r="U18" s="61" t="str">
        <f>IFERROR(__xludf.DUMMYFUNCTION("""COMPUTED_VALUE"""),"Bachelors, Maters (currently)")</f>
        <v>Bachelors, Maters (currently)</v>
      </c>
      <c r="V18" s="61" t="str">
        <f>IFERROR(__xludf.DUMMYFUNCTION("""COMPUTED_VALUE"""),"International Public Manager")</f>
        <v>International Public Manager</v>
      </c>
      <c r="W18" s="61" t="str">
        <f>IFERROR(__xludf.DUMMYFUNCTION("""COMPUTED_VALUE"""),"International Economy and Trade")</f>
        <v>International Economy and Trade</v>
      </c>
      <c r="X18" s="61" t="str">
        <f>IFERROR(__xludf.DUMMYFUNCTION("""COMPUTED_VALUE"""),"National University of Public Service, Budapest Metropolitan University")</f>
        <v>National University of Public Service, Budapest Metropolitan University</v>
      </c>
      <c r="Y18" s="61" t="str">
        <f>IFERROR(__xludf.DUMMYFUNCTION("""COMPUTED_VALUE"""),"Yes")</f>
        <v>Yes</v>
      </c>
      <c r="Z18" s="61" t="str">
        <f>IFERROR(__xludf.DUMMYFUNCTION("""COMPUTED_VALUE"""),"Hungary")</f>
        <v>Hungary</v>
      </c>
      <c r="AA18" s="61" t="str">
        <f>IFERROR(__xludf.DUMMYFUNCTION("""COMPUTED_VALUE"""),"Yes")</f>
        <v>Yes</v>
      </c>
      <c r="AB18" s="61" t="str">
        <f>IFERROR(__xludf.DUMMYFUNCTION("""COMPUTED_VALUE"""),"George Mason University, Tokyo Business and Language School")</f>
        <v>George Mason University, Tokyo Business and Language School</v>
      </c>
      <c r="AC18" s="61" t="str">
        <f>IFERROR(__xludf.DUMMYFUNCTION("""COMPUTED_VALUE"""),"I have extensive experience in academic research. Throughout my university years, I have conducted deep-dive research on complex global topics, focusing specifically on the economic impacts of migration, as well as drug policy and energy policy, which hav"&amp;"e also resulted in professional publications. My analytical and writing capabilities are strongly backed by competitive academic achievements, including winning 1st and 2nd prizes at the Institutional Student Scientific Conference, as well as a prestigiou"&amp;"s 2nd prize at the 37th National Student Scientific Conference (OTDK) in 2025. Furthermore, my academic performance has been consistently recognized through highly selective grants, such as the New National Excellence Program Scholarship and the Universit"&amp;"y Research Scholarship Program. Beyond the university setting, I have successfully applied these methodologies in professional environments, notably working as a Research Intern at the Center for Immigration Studies in Washington D.C., and preparing data-"&amp;"driven background materials, summaries, and analyses for the Danube Institute and the European Parliament.")</f>
        <v>I have extensive experience in academic research. Throughout my university years, I have conducted deep-dive research on complex global topics, focusing specifically on the economic impacts of migration, as well as drug policy and energy policy, which have also resulted in professional publications. My analytical and writing capabilities are strongly backed by competitive academic achievements, including winning 1st and 2nd prizes at the Institutional Student Scientific Conference, as well as a prestigious 2nd prize at the 37th National Student Scientific Conference (OTDK) in 2025. Furthermore, my academic performance has been consistently recognized through highly selective grants, such as the New National Excellence Program Scholarship and the University Research Scholarship Program. Beyond the university setting, I have successfully applied these methodologies in professional environments, notably working as a Research Intern at the Center for Immigration Studies in Washington D.C., and preparing data-driven background materials, summaries, and analyses for the Danube Institute and the European Parliament.</v>
      </c>
      <c r="AD18" s="61" t="str">
        <f>IFERROR(__xludf.DUMMYFUNCTION("""COMPUTED_VALUE"""),"Rotary Club")</f>
        <v>Rotary Club</v>
      </c>
      <c r="AE18" s="65" t="str">
        <f>IFERROR(__xludf.DUMMYFUNCTION("""COMPUTED_VALUE"""),"https://rceger.rotaryd1911.hu")</f>
        <v>https://rceger.rotaryd1911.hu</v>
      </c>
      <c r="AF18" s="61" t="str">
        <f>IFERROR(__xludf.DUMMYFUNCTION("""COMPUTED_VALUE"""),"I participated in environmental programs and organized fundraising events for disadvantaged families, and I volunteered as a mentor for disadvantaged children.")</f>
        <v>I participated in environmental programs and organized fundraising events for disadvantaged families, and I volunteered as a mentor for disadvantaged children.</v>
      </c>
      <c r="AG18" s="61" t="str">
        <f>IFERROR(__xludf.DUMMYFUNCTION("""COMPUTED_VALUE"""),"2")</f>
        <v>2</v>
      </c>
      <c r="AH18" s="61" t="str">
        <f>IFERROR(__xludf.DUMMYFUNCTION("""COMPUTED_VALUE"""),"No")</f>
        <v>No</v>
      </c>
      <c r="AI18" s="61"/>
      <c r="AJ18" s="61"/>
      <c r="AK18" s="61"/>
      <c r="AL18" s="61" t="str">
        <f>IFERROR(__xludf.DUMMYFUNCTION("""COMPUTED_VALUE"""),"My skillset combines strong analytical and research capabilities with extensive experience in communication, event organization, and international coordination. Throughout my work at the Prime Minister’s Office, I significantly enhanced my adaptability, p"&amp;"roblem-solving skills, and flexibility while managing complex organizational and administrative responsibilities.")</f>
        <v>My skillset combines strong analytical and research capabilities with extensive experience in communication, event organization, and international coordination. Throughout my work at the Prime Minister’s Office, I significantly enhanced my adaptability, problem-solving skills, and flexibility while managing complex organizational and administrative responsibilities.</v>
      </c>
      <c r="AM18" s="61" t="str">
        <f>IFERROR(__xludf.DUMMYFUNCTION("""COMPUTED_VALUE"""),"resume_Veronika TOTH.pdf")</f>
        <v>resume_Veronika TOTH.pdf</v>
      </c>
      <c r="AN18" s="61" t="str">
        <f>IFERROR(__xludf.DUMMYFUNCTION("""COMPUTED_VALUE"""),"I believe real change starts locally, through personal example, by balancing individualism with collectivism. Instead of chasing purely selfish goals, we must see the bigger picture to live in harmony. In my personal capacity, I have put this into practic"&amp;"e through actionable community service. As an active member of the Interact Club, I organized environmental programs and fundraisers for families in need. Furthermore, as Vice President of my university’s Advanced College, I focused on mentoring disadvant"&amp;"aged children and guiding peers. Through leadership and volunteering, I aim to inspire others to build a more collaborative, empathetic environment.")</f>
        <v>I believe real change starts locally, through personal example, by balancing individualism with collectivism. Instead of chasing purely selfish goals, we must see the bigger picture to live in harmony. In my personal capacity, I have put this into practice through actionable community service. As an active member of the Interact Club, I organized environmental programs and fundraisers for families in need. Furthermore, as Vice President of my university’s Advanced College, I focused on mentoring disadvantaged children and guiding peers. Through leadership and volunteering, I aim to inspire others to build a more collaborative, empathetic environment.</v>
      </c>
      <c r="AO18" s="61" t="str">
        <f>IFERROR(__xludf.DUMMYFUNCTION("""COMPUTED_VALUE"""),"In my view, the United States remains the most diplomatically significant country due to its unparalleled combination of geopolitical hard power and cultural soft power. As the primary architect of the modern international order, the U.S. serves as the ul"&amp;"timate hub for global public diplomacy and transnational networks. Having studied in Washington D.C., I experienced firsthand how the U.S. leverages educational exchange and professional fellowships to bring diverse future leaders together. Its true diplo"&amp;"matic significance lies in its unique ability to shape global policies while simultaneously creating open spaces for grassroots cultural dialogue. It is a nation where global youth can build the foundational informational bridges necessary to address comp"&amp;"lex international challenges collectively.")</f>
        <v>In my view, the United States remains the most diplomatically significant country due to its unparalleled combination of geopolitical hard power and cultural soft power. As the primary architect of the modern international order, the U.S. serves as the ultimate hub for global public diplomacy and transnational networks. Having studied in Washington D.C., I experienced firsthand how the U.S. leverages educational exchange and professional fellowships to bring diverse future leaders together. Its true diplomatic significance lies in its unique ability to shape global policies while simultaneously creating open spaces for grassroots cultural dialogue. It is a nation where global youth can build the foundational informational bridges necessary to address complex international challenges collectively.</v>
      </c>
      <c r="AP18" s="61" t="str">
        <f>IFERROR(__xludf.DUMMYFUNCTION("""COMPUTED_VALUE"""),"Youth play a transformative role in modern diplomacy; they act as dynamic, grassroots ambassadors who humanize international relations through genuine peer-to-peer connections. Unlike rigid, traditional statecraft, young people leverage academic mobility,"&amp;" global trends, and cultural exchange to build organic bridges between societies, shaping how their home countries are perceived globally. For me, Public Diplomacy is a deeply personal mission. Having studied and worked across different continents, I view"&amp;" international travel as a responsibility to represent my homeland. I take immense pride in sharing my culture, explaining our distinct perspectives, and clarifying my country’s role in international affairs through open, respectful dialogue. Through for "&amp;"example academic mobility like the Erasmus+ program, young people strengthen international ties by building organic connections and gaining knowledge that serves as an informational bridge between nations. While macro-level impact begins within our immedi"&amp;"ate environment, the accumulation of these individual efforts ultimately generates a powerful global effect. Ultimately, I relate to Public Diplomacy not as an abstract political theory, but as a daily practice of fostering mutual understanding, preservin"&amp;"g cultural heritage, and transforming personal interactions into lasting international goodwill.")</f>
        <v>Youth play a transformative role in modern diplomacy; they act as dynamic, grassroots ambassadors who humanize international relations through genuine peer-to-peer connections. Unlike rigid, traditional statecraft, young people leverage academic mobility, global trends, and cultural exchange to build organic bridges between societies, shaping how their home countries are perceived globally. For me, Public Diplomacy is a deeply personal mission. Having studied and worked across different continents, I view international travel as a responsibility to represent my homeland. I take immense pride in sharing my culture, explaining our distinct perspectives, and clarifying my country’s role in international affairs through open, respectful dialogue. Through for example academic mobility like the Erasmus+ program, young people strengthen international ties by building organic connections and gaining knowledge that serves as an informational bridge between nations. While macro-level impact begins within our immediate environment, the accumulation of these individual efforts ultimately generates a powerful global effect. Ultimately, I relate to Public Diplomacy not as an abstract political theory, but as a daily practice of fostering mutual understanding, preserving cultural heritage, and transforming personal interactions into lasting international goodwill.</v>
      </c>
      <c r="AQ18" s="61" t="str">
        <f>IFERROR(__xludf.DUMMYFUNCTION("""COMPUTED_VALUE"""),"To me, passion is the intrinsic drive and intellectual curiosity that transforms professional responsibilities into a personal mission to create a meaningful impact. It is the fuel that sustains long-term commitment, enabling me to turn complex academic a"&amp;"nd societal challenges into opportunities for growth and value creation. This drive helps me achieve my goals by fostering resilience and a high capacity for adaptability, allowing me to excel in demanding international environments, from Washington D.C. "&amp;"to Tokyo. My passion for understanding global dynamics has pushed me to publish policy research, earn competitive scholarships, and achieve academic awards while balancing rigorous master’s studies and leadership roles. Ultimately, passion serves as my in"&amp;"ternal compass, as it keeps me focused on the bigger picture, ensuring that my individual pursuits consistently align with and contribute to the broader success of my team and community.")</f>
        <v>To me, passion is the intrinsic drive and intellectual curiosity that transforms professional responsibilities into a personal mission to create a meaningful impact. It is the fuel that sustains long-term commitment, enabling me to turn complex academic and societal challenges into opportunities for growth and value creation. This drive helps me achieve my goals by fostering resilience and a high capacity for adaptability, allowing me to excel in demanding international environments, from Washington D.C. to Tokyo. My passion for understanding global dynamics has pushed me to publish policy research, earn competitive scholarships, and achieve academic awards while balancing rigorous master’s studies and leadership roles. Ultimately, passion serves as my internal compass, as it keeps me focused on the bigger picture, ensuring that my individual pursuits consistently align with and contribute to the broader success of my team and community.</v>
      </c>
      <c r="AR18" s="61" t="str">
        <f>IFERROR(__xludf.DUMMYFUNCTION("""COMPUTED_VALUE"""),"Yes, I consider myself a highly creative person, but I define creativity not through abstract art, but as the ability to approach complex global challenges with innovative, human-centric solutions. To me, creativity means building unexpected bridges betwe"&amp;"en diverse cultures and transforming rigid institutional concepts into relatable, human-scale experiences.
I turn this creativity into an effective public diplomacy strategy by leveraging grassroots engagement, peer-to-peer connection, and digital storyte"&amp;"lling to build organic transnational networks. Instead of relying solely on traditional statecraft, my strategy focuses on utilizing academic mobility, such as the Erasmus+ program, as an active launchpad for cultural diplomacy. By creating dynamic, colla"&amp;"borative spaces whether through public panels, academic dialogue, or international fellowships I allow young leaders to share distinct national perspectives and co-create knowledge. Furthermore, I apply creative communication to engage with international "&amp;"diasporas, strengthening their sense of cultural belonging while enriching the host society. By utilizing targeted digital content and open dialogue, this strategy ensures that the unique values and traditions of a nation are communicated authentically. U"&amp;"ltimately, this approach turns personal example and individual micro-level interactions into a powerful collective force that generates lasting international goodwill.")</f>
        <v>Yes, I consider myself a highly creative person, but I define creativity not through abstract art, but as the ability to approach complex global challenges with innovative, human-centric solutions. To me, creativity means building unexpected bridges between diverse cultures and transforming rigid institutional concepts into relatable, human-scale experiences.
I turn this creativity into an effective public diplomacy strategy by leveraging grassroots engagement, peer-to-peer connection, and digital storytelling to build organic transnational networks. Instead of relying solely on traditional statecraft, my strategy focuses on utilizing academic mobility, such as the Erasmus+ program, as an active launchpad for cultural diplomacy. By creating dynamic, collaborative spaces whether through public panels, academic dialogue, or international fellowships I allow young leaders to share distinct national perspectives and co-create knowledge. Furthermore, I apply creative communication to engage with international diasporas, strengthening their sense of cultural belonging while enriching the host society. By utilizing targeted digital content and open dialogue, this strategy ensures that the unique values and traditions of a nation are communicated authentically. Ultimately, this approach turns personal example and individual micro-level interactions into a powerful collective force that generates lasting international goodwill.</v>
      </c>
      <c r="AS18" s="61" t="str">
        <f>IFERROR(__xludf.DUMMYFUNCTION("""COMPUTED_VALUE"""),"Yes")</f>
        <v>Yes</v>
      </c>
      <c r="AT18" s="61" t="str">
        <f>IFERROR(__xludf.DUMMYFUNCTION("""COMPUTED_VALUE"""),"Yes")</f>
        <v>Yes</v>
      </c>
      <c r="AU18" s="61" t="str">
        <f>IFERROR(__xludf.DUMMYFUNCTION("""COMPUTED_VALUE"""),"Global Politics, Diplomacy &amp; Identities")</f>
        <v>Global Politics, Diplomacy &amp; Identities</v>
      </c>
      <c r="AV18" s="61" t="str">
        <f>IFERROR(__xludf.DUMMYFUNCTION("""COMPUTED_VALUE"""),"Scholarship portal")</f>
        <v>Scholarship portal</v>
      </c>
      <c r="AW18" s="61"/>
      <c r="AX18" s="66" t="str">
        <f>IFERROR(__xludf.DUMMYFUNCTION("""COMPUTED_VALUE"""),"Yes")</f>
        <v>Yes</v>
      </c>
      <c r="AY18" s="66">
        <f>IFERROR(__xludf.DUMMYFUNCTION("""COMPUTED_VALUE"""),15.99)</f>
        <v>15.99</v>
      </c>
      <c r="AZ18" s="61"/>
      <c r="BA18" s="61"/>
      <c r="BB18" s="61"/>
      <c r="BC18" s="61"/>
      <c r="BD18" s="61"/>
      <c r="BE18" s="61"/>
      <c r="BF18" s="61"/>
      <c r="BG18" s="61"/>
      <c r="BH18" s="61"/>
      <c r="BI18" s="61"/>
      <c r="BJ18" s="61"/>
      <c r="BK18" s="61"/>
      <c r="BL18" s="61"/>
      <c r="BM18" s="61"/>
      <c r="BN18" s="61"/>
      <c r="BO18" s="61"/>
      <c r="BP18" s="61"/>
      <c r="BQ18" s="61"/>
      <c r="BR18" s="61"/>
    </row>
    <row r="19" ht="15.75" customHeight="1">
      <c r="A19" s="61" t="str">
        <f>IFERROR(__xludf.DUMMYFUNCTION("""COMPUTED_VALUE"""),"")</f>
        <v/>
      </c>
      <c r="B19" s="62">
        <f>IFERROR(__xludf.DUMMYFUNCTION("""COMPUTED_VALUE"""),29.0)</f>
        <v>29</v>
      </c>
      <c r="C19" s="61" t="str">
        <f>IFERROR(__xludf.DUMMYFUNCTION("""COMPUTED_VALUE"""),"Self")</f>
        <v>Self</v>
      </c>
      <c r="D19" s="63" t="str">
        <f>IFERROR(__xludf.DUMMYFUNCTION("""COMPUTED_VALUE"""),"Submitted")</f>
        <v>Submitted</v>
      </c>
      <c r="E19" s="63">
        <f>IFERROR(__xludf.DUMMYFUNCTION("""COMPUTED_VALUE"""),46186.31388888889)</f>
        <v>46186.31389</v>
      </c>
      <c r="F19" s="61" t="str">
        <f>IFERROR(__xludf.DUMMYFUNCTION("""COMPUTED_VALUE"""),"Abdelali Younes")</f>
        <v>Abdelali Younes</v>
      </c>
      <c r="G19" s="61" t="str">
        <f>IFERROR(__xludf.DUMMYFUNCTION("""COMPUTED_VALUE"""),"Abdelali Mahmoud Abdelali Younes")</f>
        <v>Abdelali Mahmoud Abdelali Younes</v>
      </c>
      <c r="H19" s="61" t="str">
        <f>IFERROR(__xludf.DUMMYFUNCTION("""COMPUTED_VALUE"""),"abdelali.mahmod@gmail.com")</f>
        <v>abdelali.mahmod@gmail.com</v>
      </c>
      <c r="I19" s="61" t="str">
        <f>IFERROR(__xludf.DUMMYFUNCTION("""COMPUTED_VALUE"""),"abdelali.mahmod@yahoo.com")</f>
        <v>abdelali.mahmod@yahoo.com</v>
      </c>
      <c r="J19" s="61" t="str">
        <f>IFERROR(__xludf.DUMMYFUNCTION("""COMPUTED_VALUE"""),"136 Jamal street, Omar Almokhtar District, Ajkhirrah, Libya")</f>
        <v>136 Jamal street, Omar Almokhtar District, Ajkhirrah, Libya</v>
      </c>
      <c r="K19" s="61" t="str">
        <f>IFERROR(__xludf.DUMMYFUNCTION("""COMPUTED_VALUE"""),"Libyan")</f>
        <v>Libyan</v>
      </c>
      <c r="L19" s="64" t="str">
        <f>IFERROR(__xludf.DUMMYFUNCTION("""COMPUTED_VALUE"""),"+218915189421")</f>
        <v>+218915189421</v>
      </c>
      <c r="M19" s="64">
        <f>IFERROR(__xludf.DUMMYFUNCTION("""COMPUTED_VALUE"""),32845.0)</f>
        <v>32845</v>
      </c>
      <c r="N19" s="61" t="str">
        <f>IFERROR(__xludf.DUMMYFUNCTION("""COMPUTED_VALUE"""),"AD075584")</f>
        <v>AD075584</v>
      </c>
      <c r="O19" s="61" t="str">
        <f>IFERROR(__xludf.DUMMYFUNCTION("""COMPUTED_VALUE"""),"+218927189421")</f>
        <v>+218927189421</v>
      </c>
      <c r="P19" s="65" t="str">
        <f>IFERROR(__xludf.DUMMYFUNCTION("""COMPUTED_VALUE"""),"https://www.linkedin.com/in/abdelaliyounes?utm_source=share_via&amp;utm_content=profile&amp;utm_medium=member_ios")</f>
        <v>https://www.linkedin.com/in/abdelaliyounes?utm_source=share_via&amp;utm_content=profile&amp;utm_medium=member_ios</v>
      </c>
      <c r="Q19" s="65" t="str">
        <f>IFERROR(__xludf.DUMMYFUNCTION("""COMPUTED_VALUE"""),"https://www.instagram.com/abadi.mahmoud008?igsh=eTd4cHJuczRyN3Ax&amp;utm_source=qr")</f>
        <v>https://www.instagram.com/abadi.mahmoud008?igsh=eTd4cHJuczRyN3Ax&amp;utm_source=qr</v>
      </c>
      <c r="R19" s="65" t="str">
        <f>IFERROR(__xludf.DUMMYFUNCTION("""COMPUTED_VALUE"""),"https://www.facebook.com/share/1TD3rwso4P/?mibextid=wwXIfr")</f>
        <v>https://www.facebook.com/share/1TD3rwso4P/?mibextid=wwXIfr</v>
      </c>
      <c r="S19" s="61" t="str">
        <f>IFERROR(__xludf.DUMMYFUNCTION("""COMPUTED_VALUE"""),"Passport copy.png")</f>
        <v>Passport copy.png</v>
      </c>
      <c r="T19" s="61" t="str">
        <f>IFERROR(__xludf.DUMMYFUNCTION("""COMPUTED_VALUE"""),"Personal Photo.pdf")</f>
        <v>Personal Photo.pdf</v>
      </c>
      <c r="U19" s="61" t="str">
        <f>IFERROR(__xludf.DUMMYFUNCTION("""COMPUTED_VALUE"""),"Bachelors")</f>
        <v>Bachelors</v>
      </c>
      <c r="V19" s="61" t="str">
        <f>IFERROR(__xludf.DUMMYFUNCTION("""COMPUTED_VALUE"""),"Bachelors")</f>
        <v>Bachelors</v>
      </c>
      <c r="W19" s="61" t="str">
        <f>IFERROR(__xludf.DUMMYFUNCTION("""COMPUTED_VALUE"""),"Renewable Energy Engineering")</f>
        <v>Renewable Energy Engineering</v>
      </c>
      <c r="X19" s="61" t="str">
        <f>IFERROR(__xludf.DUMMYFUNCTION("""COMPUTED_VALUE"""),"Ajkhirrah College of Energy Technologies")</f>
        <v>Ajkhirrah College of Energy Technologies</v>
      </c>
      <c r="Y19" s="61" t="str">
        <f>IFERROR(__xludf.DUMMYFUNCTION("""COMPUTED_VALUE"""),"No")</f>
        <v>No</v>
      </c>
      <c r="Z19" s="61" t="str">
        <f>IFERROR(__xludf.DUMMYFUNCTION("""COMPUTED_VALUE"""),"Libya")</f>
        <v>Libya</v>
      </c>
      <c r="AA19" s="61" t="str">
        <f>IFERROR(__xludf.DUMMYFUNCTION("""COMPUTED_VALUE"""),"Yes")</f>
        <v>Yes</v>
      </c>
      <c r="AB19" s="61" t="str">
        <f>IFERROR(__xludf.DUMMYFUNCTION("""COMPUTED_VALUE"""),"Nizwa University, Oman")</f>
        <v>Nizwa University, Oman</v>
      </c>
      <c r="AC19" s="61" t="str">
        <f>IFERROR(__xludf.DUMMYFUNCTION("""COMPUTED_VALUE"""),"Yes")</f>
        <v>Yes</v>
      </c>
      <c r="AD19" s="61" t="str">
        <f>IFERROR(__xludf.DUMMYFUNCTION("""COMPUTED_VALUE"""),"Build it with our Hands, Ajkhirrah")</f>
        <v>Build it with our Hands, Ajkhirrah</v>
      </c>
      <c r="AE19" s="61"/>
      <c r="AF19" s="61" t="str">
        <f>IFERROR(__xludf.DUMMYFUNCTION("""COMPUTED_VALUE"""),"Mechanical Supervisor")</f>
        <v>Mechanical Supervisor</v>
      </c>
      <c r="AG19" s="61" t="str">
        <f>IFERROR(__xludf.DUMMYFUNCTION("""COMPUTED_VALUE"""),"6")</f>
        <v>6</v>
      </c>
      <c r="AH19" s="61" t="str">
        <f>IFERROR(__xludf.DUMMYFUNCTION("""COMPUTED_VALUE"""),"Yes")</f>
        <v>Yes</v>
      </c>
      <c r="AI19" s="61" t="str">
        <f>IFERROR(__xludf.DUMMYFUNCTION("""COMPUTED_VALUE"""),"Turbine Senior Supervisor")</f>
        <v>Turbine Senior Supervisor</v>
      </c>
      <c r="AJ19" s="61" t="str">
        <f>IFERROR(__xludf.DUMMYFUNCTION("""COMPUTED_VALUE"""),"No")</f>
        <v>No</v>
      </c>
      <c r="AK19" s="61"/>
      <c r="AL19" s="61" t="str">
        <f>IFERROR(__xludf.DUMMYFUNCTION("""COMPUTED_VALUE"""),"Engineer")</f>
        <v>Engineer</v>
      </c>
      <c r="AM19" s="61" t="str">
        <f>IFERROR(__xludf.DUMMYFUNCTION("""COMPUTED_VALUE"""),"05 Abdelali Younes Resume.pdf")</f>
        <v>05 Abdelali Younes Resume.pdf</v>
      </c>
      <c r="AN19" s="61" t="str">
        <f>IFERROR(__xludf.DUMMYFUNCTION("""COMPUTED_VALUE"""),"I believe meaningful change begins with everyday choices that reduce energy consumption and support sustainability. In my personal capacity, I have prioritized energy-efficient practices such as minimizing unnecessary electricity use, choosing efficient a"&amp;"ppliances, and promoting responsible resource consumption. I support renewable energy for greater awareness of green power generation, including solar and wind energy. I also encourage recycling, and waste reduction. Beyond my own actions, I share informa"&amp;"tion on environmental stewardship and energy conservation with others, aiming to inspire small but collective changes that contribute to a cleaner, more sustainable future.")</f>
        <v>I believe meaningful change begins with everyday choices that reduce energy consumption and support sustainability. In my personal capacity, I have prioritized energy-efficient practices such as minimizing unnecessary electricity use, choosing efficient appliances, and promoting responsible resource consumption. I support renewable energy for greater awareness of green power generation, including solar and wind energy. I also encourage recycling, and waste reduction. Beyond my own actions, I share information on environmental stewardship and energy conservation with others, aiming to inspire small but collective changes that contribute to a cleaner, more sustainable future.</v>
      </c>
      <c r="AO19" s="61" t="str">
        <f>IFERROR(__xludf.DUMMYFUNCTION("""COMPUTED_VALUE"""),"A diplomatically significant country is one that plays a vital role in promoting international cooperation, regional stability, and global development. Indonesia stands out as an influential nation due to its strategic location, large population, growing "&amp;"economy, and active participation in regional and global organizations such as Association of Southeast Asian Nations and United Nations. Indonesia often serves as a bridge between developed and developing countries and advocates for peace, sustainable de"&amp;"velopment, and multilateral cooperation. Its leadership in addressing climate change, maritime security, and regional diplomacy makes it an increasingly important actor in shaping international relations and fostering global stability.")</f>
        <v>A diplomatically significant country is one that plays a vital role in promoting international cooperation, regional stability, and global development. Indonesia stands out as an influential nation due to its strategic location, large population, growing economy, and active participation in regional and global organizations such as Association of Southeast Asian Nations and United Nations. Indonesia often serves as a bridge between developed and developing countries and advocates for peace, sustainable development, and multilateral cooperation. Its leadership in addressing climate change, maritime security, and regional diplomacy makes it an increasingly important actor in shaping international relations and fostering global stability.</v>
      </c>
      <c r="AP19" s="61" t="str">
        <f>IFERROR(__xludf.DUMMYFUNCTION("""COMPUTED_VALUE"""),"Youth play a crucial role in diplomacy by bringing fresh perspectives, innovation, and a strong commitment to addressing global challenges. As the most connected generation in history, young people can build cross-cultural understanding, promote dialogue,"&amp;" and foster cooperation beyond national borders. Through education, volunteerism, social media, and international exchanges, youth contribute to peacebuilding, sustainable development, and stronger people-to-people relationships.
I relate strongly to the"&amp;" idea of public diplomacy because it emphasizes the power of citizens, not just governments, to shape international perceptions and strengthen global ties. Public diplomacy encourages communication, cultural exchange, and mutual understanding among divers"&amp;"e communities. I believe that young people are uniquely positioned to act as informal ambassadors by sharing their culture, values, and experiences while remaining open to learning from others.
In my own capacity, I seek to engage in constructive discuss"&amp;"ions on issues such as sustainability, climate action, and international cooperation. By promoting respect, inclusivity, and evidence-based dialogue, I can contribute to building trust and understanding across cultures.
Through active participation, respo"&amp;"nsible communication, and a global mindset, youth can become powerful drivers of positive change and effective contributors to public diplomacy.")</f>
        <v>Youth play a crucial role in diplomacy by bringing fresh perspectives, innovation, and a strong commitment to addressing global challenges. As the most connected generation in history, young people can build cross-cultural understanding, promote dialogue, and foster cooperation beyond national borders. Through education, volunteerism, social media, and international exchanges, youth contribute to peacebuilding, sustainable development, and stronger people-to-people relationships.
I relate strongly to the idea of public diplomacy because it emphasizes the power of citizens, not just governments, to shape international perceptions and strengthen global ties. Public diplomacy encourages communication, cultural exchange, and mutual understanding among diverse communities. I believe that young people are uniquely positioned to act as informal ambassadors by sharing their culture, values, and experiences while remaining open to learning from others.
In my own capacity, I seek to engage in constructive discussions on issues such as sustainability, climate action, and international cooperation. By promoting respect, inclusivity, and evidence-based dialogue, I can contribute to building trust and understanding across cultures.
Through active participation, responsible communication, and a global mindset, youth can become powerful drivers of positive change and effective contributors to public diplomacy.</v>
      </c>
      <c r="AQ19" s="61" t="str">
        <f>IFERROR(__xludf.DUMMYFUNCTION("""COMPUTED_VALUE"""),"Passion is a deep sense of enthusiasm, purpose, and commitment toward something that truly matters to an individual.
It plays a vital role in achieving goals because it fuels perseverance, discipline, and resilience. When people are passionate about a goa"&amp;"l, they are more likely to remain focused, continuously learn, and work hard to overcome obstacles. Passion transforms tasks from obligations into meaningful pursuits, making it easier to stay motivated during difficult times.
In my own journey, passion "&amp;"inspires me to seek knowledge, develop new skills, and contribute positively to my society. It encourages me to pursue opportunities that align with my values and long-term objectives. Whether in academics, leadership, sustainability, or community engagem"&amp;"ent, passion helps me maintain a clear sense of purpose and determination. By providing motivation and direction, passion becomes a powerful force that turns aspirations into achievements and enables continuous personal growth.")</f>
        <v>Passion is a deep sense of enthusiasm, purpose, and commitment toward something that truly matters to an individual.
It plays a vital role in achieving goals because it fuels perseverance, discipline, and resilience. When people are passionate about a goal, they are more likely to remain focused, continuously learn, and work hard to overcome obstacles. Passion transforms tasks from obligations into meaningful pursuits, making it easier to stay motivated during difficult times.
In my own journey, passion inspires me to seek knowledge, develop new skills, and contribute positively to my society. It encourages me to pursue opportunities that align with my values and long-term objectives. Whether in academics, leadership, sustainability, or community engagement, passion helps me maintain a clear sense of purpose and determination. By providing motivation and direction, passion becomes a powerful force that turns aspirations into achievements and enables continuous personal growth.</v>
      </c>
      <c r="AR19" s="61" t="str">
        <f>IFERROR(__xludf.DUMMYFUNCTION("""COMPUTED_VALUE"""),"I consider myself a creative person because I enjoy finding innovative solutions to challenges, communicating ideas in engaging ways, and exploring new perspectives. Creativity allows me to think beyond conventional approaches and adapt to different situa"&amp;"tions, which is an important quality in diplomacy.
Creativity can be transformed into an effective public diplomacy strategy by making communication more inclusive, relatable, and impactful. In today’s interconnected world, public diplomacy is not limite"&amp;"d to official statements; it also involves cultural exchange, digital engagement, storytelling, and people-to-people connections. A creative approach can help present a country’s values, culture, and achievements in ways that resonate with diverse audienc"&amp;"es.
For example, cultural events, educational exchanges, and multimedia storytelling can be used to foster mutual understanding and strengthen international relationships. Creativity also helps in addressing complex global issues by encouraging dialogue,"&amp;" collaboration, and innovative problem-solving. By tailoring messages to different audiences and using modern communication platforms, public diplomacy can become more accessible and effective.
As a young person, I would use creativity to promote intercu"&amp;"ltural understanding, sustainability, and global cooperation. Through engaging content, community initiatives, and constructive dialogue, I can help build positive connections between people from different backgrounds. In this way, creativity becomes a va"&amp;"luable tool for advancing public diplomacy, enhancing a nation’s image, and fostering long-term international goodwill.")</f>
        <v>I consider myself a creative person because I enjoy finding innovative solutions to challenges, communicating ideas in engaging ways, and exploring new perspectives. Creativity allows me to think beyond conventional approaches and adapt to different situations, which is an important quality in diplomacy.
Creativity can be transformed into an effective public diplomacy strategy by making communication more inclusive, relatable, and impactful. In today’s interconnected world, public diplomacy is not limited to official statements; it also involves cultural exchange, digital engagement, storytelling, and people-to-people connections. A creative approach can help present a country’s values, culture, and achievements in ways that resonate with diverse audiences.
For example, cultural events, educational exchanges, and multimedia storytelling can be used to foster mutual understanding and strengthen international relationships. Creativity also helps in addressing complex global issues by encouraging dialogue, collaboration, and innovative problem-solving. By tailoring messages to different audiences and using modern communication platforms, public diplomacy can become more accessible and effective.
As a young person, I would use creativity to promote intercultural understanding, sustainability, and global cooperation. Through engaging content, community initiatives, and constructive dialogue, I can help build positive connections between people from different backgrounds. In this way, creativity becomes a valuable tool for advancing public diplomacy, enhancing a nation’s image, and fostering long-term international goodwill.</v>
      </c>
      <c r="AS19" s="61" t="str">
        <f>IFERROR(__xludf.DUMMYFUNCTION("""COMPUTED_VALUE"""),"Yes")</f>
        <v>Yes</v>
      </c>
      <c r="AT19" s="61" t="str">
        <f>IFERROR(__xludf.DUMMYFUNCTION("""COMPUTED_VALUE"""),"No")</f>
        <v>No</v>
      </c>
      <c r="AU19" s="61" t="str">
        <f>IFERROR(__xludf.DUMMYFUNCTION("""COMPUTED_VALUE"""),"Strategy, Peace &amp; Cultural Diplomacy")</f>
        <v>Strategy, Peace &amp; Cultural Diplomacy</v>
      </c>
      <c r="AV19" s="61" t="str">
        <f>IFERROR(__xludf.DUMMYFUNCTION("""COMPUTED_VALUE"""),"LinkedIn")</f>
        <v>LinkedIn</v>
      </c>
      <c r="AW19" s="61" t="str">
        <f>IFERROR(__xludf.DUMMYFUNCTION("""COMPUTED_VALUE"""),"Climate Diplomacy and Sustainable Development")</f>
        <v>Climate Diplomacy and Sustainable Development</v>
      </c>
      <c r="AX19" s="66" t="str">
        <f>IFERROR(__xludf.DUMMYFUNCTION("""COMPUTED_VALUE"""),"Yes")</f>
        <v>Yes</v>
      </c>
      <c r="AY19" s="66">
        <f>IFERROR(__xludf.DUMMYFUNCTION("""COMPUTED_VALUE"""),15.99)</f>
        <v>15.99</v>
      </c>
      <c r="AZ19" s="61"/>
      <c r="BA19" s="61"/>
      <c r="BB19" s="61"/>
      <c r="BC19" s="61"/>
      <c r="BD19" s="61"/>
      <c r="BE19" s="61"/>
      <c r="BF19" s="61"/>
      <c r="BG19" s="61"/>
      <c r="BH19" s="61"/>
      <c r="BI19" s="61"/>
      <c r="BJ19" s="61"/>
      <c r="BK19" s="61"/>
      <c r="BL19" s="61"/>
      <c r="BM19" s="61"/>
      <c r="BN19" s="61"/>
      <c r="BO19" s="61"/>
      <c r="BP19" s="61"/>
      <c r="BQ19" s="61"/>
      <c r="BR19" s="61"/>
    </row>
    <row r="20" ht="15.75" customHeight="1">
      <c r="A20" s="61" t="str">
        <f>IFERROR(__xludf.DUMMYFUNCTION("""COMPUTED_VALUE"""),"Self")</f>
        <v>Self</v>
      </c>
      <c r="B20" s="62">
        <f>IFERROR(__xludf.DUMMYFUNCTION("""COMPUTED_VALUE"""),31.0)</f>
        <v>31</v>
      </c>
      <c r="C20" s="61" t="str">
        <f>IFERROR(__xludf.DUMMYFUNCTION("""COMPUTED_VALUE"""),"Self")</f>
        <v>Self</v>
      </c>
      <c r="D20" s="63" t="str">
        <f>IFERROR(__xludf.DUMMYFUNCTION("""COMPUTED_VALUE"""),"Submitted")</f>
        <v>Submitted</v>
      </c>
      <c r="E20" s="63">
        <f>IFERROR(__xludf.DUMMYFUNCTION("""COMPUTED_VALUE"""),46186.77430555555)</f>
        <v>46186.77431</v>
      </c>
      <c r="F20" s="61" t="str">
        <f>IFERROR(__xludf.DUMMYFUNCTION("""COMPUTED_VALUE"""),"Syed Sharjeel Ahmed")</f>
        <v>Syed Sharjeel Ahmed</v>
      </c>
      <c r="G20" s="61" t="str">
        <f>IFERROR(__xludf.DUMMYFUNCTION("""COMPUTED_VALUE"""),"Syed Sharjeel Ahmed")</f>
        <v>Syed Sharjeel Ahmed</v>
      </c>
      <c r="H20" s="61" t="str">
        <f>IFERROR(__xludf.DUMMYFUNCTION("""COMPUTED_VALUE"""),"ahmedsyedsharjeel2001@gmail.com")</f>
        <v>ahmedsyedsharjeel2001@gmail.com</v>
      </c>
      <c r="I20" s="61" t="str">
        <f>IFERROR(__xludf.DUMMYFUNCTION("""COMPUTED_VALUE"""),"ssharjeel2001@outlook.com")</f>
        <v>ssharjeel2001@outlook.com</v>
      </c>
      <c r="J20" s="61" t="str">
        <f>IFERROR(__xludf.DUMMYFUNCTION("""COMPUTED_VALUE"""),"Georgstraße 20, 09111 Chemnitz, Chemnitz, Germany")</f>
        <v>Georgstraße 20, 09111 Chemnitz, Chemnitz, Germany</v>
      </c>
      <c r="K20" s="61" t="str">
        <f>IFERROR(__xludf.DUMMYFUNCTION("""COMPUTED_VALUE"""),"Pakistani")</f>
        <v>Pakistani</v>
      </c>
      <c r="L20" s="64" t="str">
        <f>IFERROR(__xludf.DUMMYFUNCTION("""COMPUTED_VALUE"""),"015203075836")</f>
        <v>015203075836</v>
      </c>
      <c r="M20" s="64">
        <f>IFERROR(__xludf.DUMMYFUNCTION("""COMPUTED_VALUE"""),36917.0)</f>
        <v>36917</v>
      </c>
      <c r="N20" s="61" t="str">
        <f>IFERROR(__xludf.DUMMYFUNCTION("""COMPUTED_VALUE"""),"BB1189751")</f>
        <v>BB1189751</v>
      </c>
      <c r="O20" s="61" t="str">
        <f>IFERROR(__xludf.DUMMYFUNCTION("""COMPUTED_VALUE"""),"015203075836")</f>
        <v>015203075836</v>
      </c>
      <c r="P20" s="61"/>
      <c r="Q20" s="61"/>
      <c r="R20" s="61"/>
      <c r="S20" s="61" t="str">
        <f>IFERROR(__xludf.DUMMYFUNCTION("""COMPUTED_VALUE"""),"Passport.pdf")</f>
        <v>Passport.pdf</v>
      </c>
      <c r="T20" s="61" t="str">
        <f>IFERROR(__xludf.DUMMYFUNCTION("""COMPUTED_VALUE"""),"IMG_0617.jpeg")</f>
        <v>IMG_0617.jpeg</v>
      </c>
      <c r="U20" s="61" t="str">
        <f>IFERROR(__xludf.DUMMYFUNCTION("""COMPUTED_VALUE"""),"Masters")</f>
        <v>Masters</v>
      </c>
      <c r="V20" s="61" t="str">
        <f>IFERROR(__xludf.DUMMYFUNCTION("""COMPUTED_VALUE"""),"Mathematics for data science")</f>
        <v>Mathematics for data science</v>
      </c>
      <c r="W20" s="61" t="str">
        <f>IFERROR(__xludf.DUMMYFUNCTION("""COMPUTED_VALUE"""),"Data Science")</f>
        <v>Data Science</v>
      </c>
      <c r="X20" s="61" t="str">
        <f>IFERROR(__xludf.DUMMYFUNCTION("""COMPUTED_VALUE"""),"Mittweida university")</f>
        <v>Mittweida university</v>
      </c>
      <c r="Y20" s="61" t="str">
        <f>IFERROR(__xludf.DUMMYFUNCTION("""COMPUTED_VALUE"""),"Yes")</f>
        <v>Yes</v>
      </c>
      <c r="Z20" s="61" t="str">
        <f>IFERROR(__xludf.DUMMYFUNCTION("""COMPUTED_VALUE"""),"Germany")</f>
        <v>Germany</v>
      </c>
      <c r="AA20" s="61" t="str">
        <f>IFERROR(__xludf.DUMMYFUNCTION("""COMPUTED_VALUE"""),"No")</f>
        <v>No</v>
      </c>
      <c r="AB20" s="61"/>
      <c r="AC20" s="61"/>
      <c r="AD20" s="61" t="str">
        <f>IFERROR(__xludf.DUMMYFUNCTION("""COMPUTED_VALUE"""),"Amal Academy")</f>
        <v>Amal Academy</v>
      </c>
      <c r="AE20" s="61"/>
      <c r="AF20" s="61" t="str">
        <f>IFERROR(__xludf.DUMMYFUNCTION("""COMPUTED_VALUE"""),"Volunteer Worker")</f>
        <v>Volunteer Worker</v>
      </c>
      <c r="AG20" s="61" t="str">
        <f>IFERROR(__xludf.DUMMYFUNCTION("""COMPUTED_VALUE"""),"6 months")</f>
        <v>6 months</v>
      </c>
      <c r="AH20" s="61" t="str">
        <f>IFERROR(__xludf.DUMMYFUNCTION("""COMPUTED_VALUE"""),"No")</f>
        <v>No</v>
      </c>
      <c r="AI20" s="61"/>
      <c r="AJ20" s="61"/>
      <c r="AK20" s="61"/>
      <c r="AL20" s="61" t="str">
        <f>IFERROR(__xludf.DUMMYFUNCTION("""COMPUTED_VALUE"""),"Data Engineer")</f>
        <v>Data Engineer</v>
      </c>
      <c r="AM20" s="61" t="str">
        <f>IFERROR(__xludf.DUMMYFUNCTION("""COMPUTED_VALUE"""),"Sharjeel-Ahmed-Resume (DataEngineer).pdf")</f>
        <v>Sharjeel-Ahmed-Resume (DataEngineer).pdf</v>
      </c>
      <c r="AN20" s="61" t="str">
        <f>IFERROR(__xludf.DUMMYFUNCTION("""COMPUTED_VALUE"""),"Yes. My purpose is to help people access knowledge, solve problems, and learn more effectively. While I do not act independently or have personal ambitions, I contribute by providing information, explaining complex concepts, supporting creativity, and ass"&amp;"isting users with tasks ranging from education to professional work. In my capacity as an AI, my impact comes from making knowledge more accessible and helping people make informed decisions. By supporting millions of interactions across diverse topics, I"&amp;" aim to enable positive outcomes and empower individuals to achieve their goals and contribute to society.")</f>
        <v>Yes. My purpose is to help people access knowledge, solve problems, and learn more effectively. While I do not act independently or have personal ambitions, I contribute by providing information, explaining complex concepts, supporting creativity, and assisting users with tasks ranging from education to professional work. In my capacity as an AI, my impact comes from making knowledge more accessible and helping people make informed decisions. By supporting millions of interactions across diverse topics, I aim to enable positive outcomes and empower individuals to achieve their goals and contribute to society.</v>
      </c>
      <c r="AO20" s="61" t="str">
        <f>IFERROR(__xludf.DUMMYFUNCTION("""COMPUTED_VALUE"""),"There is no single country that is universally the “most diplomatically significant.” Diplomatic significance depends on factors such as economic influence, military power, participation in international organizations, geographic position, and ability to "&amp;"shape global events.
United States :Extensive global alliances, major economic and military influence, and a leading role in many international institutions.
China : A major economic power with growing diplomatic and geopolitical influence.")</f>
        <v>There is no single country that is universally the “most diplomatically significant.” Diplomatic significance depends on factors such as economic influence, military power, participation in international organizations, geographic position, and ability to shape global events.
United States :Extensive global alliances, major economic and military influence, and a leading role in many international institutions.
China : A major economic power with growing diplomatic and geopolitical influence.</v>
      </c>
      <c r="AP20" s="61" t="str">
        <f>IFERROR(__xludf.DUMMYFUNCTION("""COMPUTED_VALUE"""),"Youth play an important role in diplomacy because they bring new ideas, technological skills, cultural awareness, and long-term perspectives to global challenges. In today’s interconnected world, young people are not only future leaders but also active pa"&amp;"rticipants in shaping international relationships.
Public diplomacy refers to efforts by a country, organization, or individual to engage and influence foreign publics rather than communicating only through government-to-government channels. It includes "&amp;"cultural exchanges, educational programs, social media engagement, international volunteering, and people-to-people connections.")</f>
        <v>Youth play an important role in diplomacy because they bring new ideas, technological skills, cultural awareness, and long-term perspectives to global challenges. In today’s interconnected world, young people are not only future leaders but also active participants in shaping international relationships.
Public diplomacy refers to efforts by a country, organization, or individual to engage and influence foreign publics rather than communicating only through government-to-government channels. It includes cultural exchanges, educational programs, social media engagement, international volunteering, and people-to-people connections.</v>
      </c>
      <c r="AQ20" s="61" t="str">
        <f>IFERROR(__xludf.DUMMYFUNCTION("""COMPUTED_VALUE"""),"Passion is a strong enthusiasm, interest, or commitment toward something that gives you a sense of purpose and motivation. It is the inner drive that makes you willing to invest time, effort, and energy in pursuing a particular goal, even when challenges "&amp;"arise.
Passion helps achieve goals in several ways:
1. Provides motivation – Passion keeps you focused and energized, making it easier to work consistently toward your objectives.
2. Builds resilience – When setbacks occur, passionate people are more li"&amp;"kely to persevere and learn from failures rather than give up.
3. Encourages continuous learning – Passion inspires curiosity and a desire to improve skills and knowledge.")</f>
        <v>Passion is a strong enthusiasm, interest, or commitment toward something that gives you a sense of purpose and motivation. It is the inner drive that makes you willing to invest time, effort, and energy in pursuing a particular goal, even when challenges arise.
Passion helps achieve goals in several ways:
1. Provides motivation – Passion keeps you focused and energized, making it easier to work consistently toward your objectives.
2. Builds resilience – When setbacks occur, passionate people are more likely to persevere and learn from failures rather than give up.
3. Encourages continuous learning – Passion inspires curiosity and a desire to improve skills and knowledge.</v>
      </c>
      <c r="AR20" s="61" t="str">
        <f>IFERROR(__xludf.DUMMYFUNCTION("""COMPUTED_VALUE"""),"1. Tell compelling stories – Share real stories of people, culture, innovation, and achievements to create connections across borders.
2. Use digital platforms effectively – Leverage social media, podcasts, videos, and online campaigns to reach young audi"&amp;"ences globally.
3. Promote cultural exchange – Encourage student exchanges, arts programs, sports diplomacy, and community partnerships.
4. Engage youth as ambassadors – Young people can communicate with their peers worldwide and build trust through peopl"&amp;"e-to-people interactions.
5. Encourage dialogue – Public diplomacy works best when it is a two-way conversation that listens to foreign audiences and addresses their concerns.")</f>
        <v>1. Tell compelling stories – Share real stories of people, culture, innovation, and achievements to create connections across borders.
2. Use digital platforms effectively – Leverage social media, podcasts, videos, and online campaigns to reach young audiences globally.
3. Promote cultural exchange – Encourage student exchanges, arts programs, sports diplomacy, and community partnerships.
4. Engage youth as ambassadors – Young people can communicate with their peers worldwide and build trust through people-to-people interactions.
5. Encourage dialogue – Public diplomacy works best when it is a two-way conversation that listens to foreign audiences and addresses their concerns.</v>
      </c>
      <c r="AS20" s="61" t="str">
        <f>IFERROR(__xludf.DUMMYFUNCTION("""COMPUTED_VALUE"""),"Yes")</f>
        <v>Yes</v>
      </c>
      <c r="AT20" s="61" t="str">
        <f>IFERROR(__xludf.DUMMYFUNCTION("""COMPUTED_VALUE"""),"Yes")</f>
        <v>Yes</v>
      </c>
      <c r="AU20" s="61" t="str">
        <f>IFERROR(__xludf.DUMMYFUNCTION("""COMPUTED_VALUE"""),"Global Politics, Diplomacy &amp; Identities")</f>
        <v>Global Politics, Diplomacy &amp; Identities</v>
      </c>
      <c r="AV20" s="61" t="str">
        <f>IFERROR(__xludf.DUMMYFUNCTION("""COMPUTED_VALUE"""),"Blogs")</f>
        <v>Blogs</v>
      </c>
      <c r="AW20" s="61" t="str">
        <f>IFERROR(__xludf.DUMMYFUNCTION("""COMPUTED_VALUE"""),"Economics")</f>
        <v>Economics</v>
      </c>
      <c r="AX20" s="66" t="str">
        <f>IFERROR(__xludf.DUMMYFUNCTION("""COMPUTED_VALUE"""),"Yes")</f>
        <v>Yes</v>
      </c>
      <c r="AY20" s="66">
        <f>IFERROR(__xludf.DUMMYFUNCTION("""COMPUTED_VALUE"""),15.99)</f>
        <v>15.99</v>
      </c>
      <c r="AZ20" s="61"/>
      <c r="BA20" s="61"/>
      <c r="BB20" s="61"/>
      <c r="BC20" s="61"/>
      <c r="BD20" s="61"/>
      <c r="BE20" s="61"/>
      <c r="BF20" s="61"/>
      <c r="BG20" s="61"/>
      <c r="BH20" s="61"/>
      <c r="BI20" s="61"/>
      <c r="BJ20" s="61"/>
      <c r="BK20" s="61"/>
      <c r="BL20" s="61"/>
      <c r="BM20" s="61"/>
      <c r="BN20" s="61"/>
      <c r="BO20" s="61"/>
      <c r="BP20" s="61"/>
      <c r="BQ20" s="61"/>
      <c r="BR20" s="61"/>
    </row>
    <row r="21" ht="15.75" customHeight="1">
      <c r="A21" s="61" t="str">
        <f>IFERROR(__xludf.DUMMYFUNCTION("""COMPUTED_VALUE"""),"Partial")</f>
        <v>Partial</v>
      </c>
      <c r="B21" s="62">
        <f>IFERROR(__xludf.DUMMYFUNCTION("""COMPUTED_VALUE"""),32.0)</f>
        <v>32</v>
      </c>
      <c r="C21" s="61" t="str">
        <f>IFERROR(__xludf.DUMMYFUNCTION("""COMPUTED_VALUE"""),"Partial")</f>
        <v>Partial</v>
      </c>
      <c r="D21" s="63" t="str">
        <f>IFERROR(__xludf.DUMMYFUNCTION("""COMPUTED_VALUE"""),"Submitted")</f>
        <v>Submitted</v>
      </c>
      <c r="E21" s="63">
        <f>IFERROR(__xludf.DUMMYFUNCTION("""COMPUTED_VALUE"""),46186.82708333333)</f>
        <v>46186.82708</v>
      </c>
      <c r="F21" s="61" t="str">
        <f>IFERROR(__xludf.DUMMYFUNCTION("""COMPUTED_VALUE"""),"Şevval Alptekin")</f>
        <v>Şevval Alptekin</v>
      </c>
      <c r="G21" s="61" t="str">
        <f>IFERROR(__xludf.DUMMYFUNCTION("""COMPUTED_VALUE"""),"Şevval Alptekin")</f>
        <v>Şevval Alptekin</v>
      </c>
      <c r="H21" s="61" t="str">
        <f>IFERROR(__xludf.DUMMYFUNCTION("""COMPUTED_VALUE"""),"sevvalptekin60@gmail.com")</f>
        <v>sevvalptekin60@gmail.com</v>
      </c>
      <c r="I21" s="61" t="str">
        <f>IFERROR(__xludf.DUMMYFUNCTION("""COMPUTED_VALUE"""),"sevvalptekin75@gmail.com")</f>
        <v>sevvalptekin75@gmail.com</v>
      </c>
      <c r="J21" s="61" t="str">
        <f>IFERROR(__xludf.DUMMYFUNCTION("""COMPUTED_VALUE"""),"Ferahevler District, İnci Çiçeği St., No:26/2 34457 Sariyer, Istanbul, Türkiye")</f>
        <v>Ferahevler District, İnci Çiçeği St., No:26/2 34457 Sariyer, Istanbul, Türkiye</v>
      </c>
      <c r="K21" s="61" t="str">
        <f>IFERROR(__xludf.DUMMYFUNCTION("""COMPUTED_VALUE"""),"Turkish")</f>
        <v>Turkish</v>
      </c>
      <c r="L21" s="64" t="str">
        <f>IFERROR(__xludf.DUMMYFUNCTION("""COMPUTED_VALUE"""),"+905338187076")</f>
        <v>+905338187076</v>
      </c>
      <c r="M21" s="64">
        <f>IFERROR(__xludf.DUMMYFUNCTION("""COMPUTED_VALUE"""),36560.0)</f>
        <v>36560</v>
      </c>
      <c r="N21" s="61" t="str">
        <f>IFERROR(__xludf.DUMMYFUNCTION("""COMPUTED_VALUE"""),"U39979718")</f>
        <v>U39979718</v>
      </c>
      <c r="O21" s="61" t="str">
        <f>IFERROR(__xludf.DUMMYFUNCTION("""COMPUTED_VALUE"""),"+905319870676")</f>
        <v>+905319870676</v>
      </c>
      <c r="P21" s="65" t="str">
        <f>IFERROR(__xludf.DUMMYFUNCTION("""COMPUTED_VALUE"""),"https://www.linkedin.com/in/%C5%9Fevval-alptekin00/")</f>
        <v>https://www.linkedin.com/in/%C5%9Fevval-alptekin00/</v>
      </c>
      <c r="Q21" s="61"/>
      <c r="R21" s="61"/>
      <c r="S21" s="61" t="str">
        <f>IFERROR(__xludf.DUMMYFUNCTION("""COMPUTED_VALUE"""),"Şevval Alptekin_Passport.pdf")</f>
        <v>Şevval Alptekin_Passport.pdf</v>
      </c>
      <c r="T21" s="61" t="str">
        <f>IFERROR(__xludf.DUMMYFUNCTION("""COMPUTED_VALUE"""),"DSC_0337.JPG")</f>
        <v>DSC_0337.JPG</v>
      </c>
      <c r="U21" s="61" t="str">
        <f>IFERROR(__xludf.DUMMYFUNCTION("""COMPUTED_VALUE"""),"Bachelor's")</f>
        <v>Bachelor's</v>
      </c>
      <c r="V21" s="61" t="str">
        <f>IFERROR(__xludf.DUMMYFUNCTION("""COMPUTED_VALUE"""),"Bachelor's Degree")</f>
        <v>Bachelor's Degree</v>
      </c>
      <c r="W21" s="61" t="str">
        <f>IFERROR(__xludf.DUMMYFUNCTION("""COMPUTED_VALUE"""),"Political Science and Public Admnistration")</f>
        <v>Political Science and Public Admnistration</v>
      </c>
      <c r="X21" s="61" t="str">
        <f>IFERROR(__xludf.DUMMYFUNCTION("""COMPUTED_VALUE"""),"Nişantaşı University")</f>
        <v>Nişantaşı University</v>
      </c>
      <c r="Y21" s="61" t="str">
        <f>IFERROR(__xludf.DUMMYFUNCTION("""COMPUTED_VALUE"""),"No")</f>
        <v>No</v>
      </c>
      <c r="Z21" s="61" t="str">
        <f>IFERROR(__xludf.DUMMYFUNCTION("""COMPUTED_VALUE"""),"Türkiye")</f>
        <v>Türkiye</v>
      </c>
      <c r="AA21" s="61" t="str">
        <f>IFERROR(__xludf.DUMMYFUNCTION("""COMPUTED_VALUE"""),"No")</f>
        <v>No</v>
      </c>
      <c r="AB21" s="61"/>
      <c r="AC21" s="61"/>
      <c r="AD21" s="61" t="str">
        <f>IFERROR(__xludf.DUMMYFUNCTION("""COMPUTED_VALUE"""),"Yes, it's YEE")</f>
        <v>Yes, it's YEE</v>
      </c>
      <c r="AE21" s="65" t="str">
        <f>IFERROR(__xludf.DUMMYFUNCTION("""COMPUTED_VALUE"""),"https://yeenet.eu")</f>
        <v>https://yeenet.eu</v>
      </c>
      <c r="AF21" s="61" t="str">
        <f>IFERROR(__xludf.DUMMYFUNCTION("""COMPUTED_VALUE"""),"Youth Scientific Advisory Board (YSAB) Member")</f>
        <v>Youth Scientific Advisory Board (YSAB) Member</v>
      </c>
      <c r="AG21" s="61" t="str">
        <f>IFERROR(__xludf.DUMMYFUNCTION("""COMPUTED_VALUE"""),"1 years")</f>
        <v>1 years</v>
      </c>
      <c r="AH21" s="61" t="str">
        <f>IFERROR(__xludf.DUMMYFUNCTION("""COMPUTED_VALUE"""),"No")</f>
        <v>No</v>
      </c>
      <c r="AI21" s="61"/>
      <c r="AJ21" s="61"/>
      <c r="AK21" s="61"/>
      <c r="AL21" s="61"/>
      <c r="AM21" s="61" t="str">
        <f>IFERROR(__xludf.DUMMYFUNCTION("""COMPUTED_VALUE"""),"Şevval Alptekin_CV.pdf")</f>
        <v>Şevval Alptekin_CV.pdf</v>
      </c>
      <c r="AN21" s="61" t="str">
        <f>IFERROR(__xludf.DUMMYFUNCTION("""COMPUTED_VALUE"""),"Yes. I do not think changing the world always means doing something extraordinary. For me, it starts with contributing to the community around me. Through volunteering and youth initiatives, I have met people from different backgrounds, shared ideas, and "&amp;"encouraged participation in social issues. During my internships at local government institutions, I also gained a better understanding of how public service affects people's daily lives. These experiences motivated me to stay involved and keep learning. "&amp;"While my contributions may seem small, I believe that every effort to support dialogue, understanding, and active citizenship can create a positive impact.")</f>
        <v>Yes. I do not think changing the world always means doing something extraordinary. For me, it starts with contributing to the community around me. Through volunteering and youth initiatives, I have met people from different backgrounds, shared ideas, and encouraged participation in social issues. During my internships at local government institutions, I also gained a better understanding of how public service affects people's daily lives. These experiences motivated me to stay involved and keep learning. While my contributions may seem small, I believe that every effort to support dialogue, understanding, and active citizenship can create a positive impact.</v>
      </c>
      <c r="AO21" s="61" t="str">
        <f>IFERROR(__xludf.DUMMYFUNCTION("""COMPUTED_VALUE"""),"Diplomacy today is not shaped by a single country alone, but by several actors that influence global decisions in different ways. International organizations, regional blocs, and major powers all contribute to how global issues are discussed and managed. "&amp;"In this sense, the European Union stands out as a significant diplomatic actor because of its emphasis on multilateralism, regulation, and consensus-building among its member states. It plays an active role in areas such as climate policy, trade relations"&amp;", and neighborhood diplomacy. At the same time, its approach shows that diplomacy is often about cooperation and negotiation rather than unilateral influence, especially in an interconnected world.")</f>
        <v>Diplomacy today is not shaped by a single country alone, but by several actors that influence global decisions in different ways. International organizations, regional blocs, and major powers all contribute to how global issues are discussed and managed. In this sense, the European Union stands out as a significant diplomatic actor because of its emphasis on multilateralism, regulation, and consensus-building among its member states. It plays an active role in areas such as climate policy, trade relations, and neighborhood diplomacy. At the same time, its approach shows that diplomacy is often about cooperation and negotiation rather than unilateral influence, especially in an interconnected world.</v>
      </c>
      <c r="AP21" s="61" t="str">
        <f>IFERROR(__xludf.DUMMYFUNCTION("""COMPUTED_VALUE"""),"Youth has an important role in diplomacy because they are directly connected to global issues and communicate across cultures more easily, especially through digital platforms and exchange programs. They often act as informal bridges between societies by "&amp;"sharing perspectives and reducing misunderstandings. I see public diplomacy as something that happens beyond official institutions. It is about how people and societies interact, understand each other, and build trust over time. My involvement in voluntee"&amp;"ring and international-oriented activities has shown me that even small interactions can matter. Listening to different views and engaging with people from other backgrounds has shaped how I understand communication between cultures.")</f>
        <v>Youth has an important role in diplomacy because they are directly connected to global issues and communicate across cultures more easily, especially through digital platforms and exchange programs. They often act as informal bridges between societies by sharing perspectives and reducing misunderstandings. I see public diplomacy as something that happens beyond official institutions. It is about how people and societies interact, understand each other, and build trust over time. My involvement in volunteering and international-oriented activities has shown me that even small interactions can matter. Listening to different views and engaging with people from other backgrounds has shaped how I understand communication between cultures.</v>
      </c>
      <c r="AQ21" s="61" t="str">
        <f>IFERROR(__xludf.DUMMYFUNCTION("""COMPUTED_VALUE"""),"Passion is the feeling that makes me keep going even when things take time or become difficult. It is not only about interest, but about consistency and effort over the long term. For me, passion for international relations and diplomacy helps me stay foc"&amp;"used on my goals. It encourages me to take part in volunteering, learn from different environments, and stay open to new experiences. When I face challenges, it helps me not lose direction and continue working step by step. Over time, I have realized that"&amp;" passion is what turns goals into something I genuinely invest in, not just plan.")</f>
        <v>Passion is the feeling that makes me keep going even when things take time or become difficult. It is not only about interest, but about consistency and effort over the long term. For me, passion for international relations and diplomacy helps me stay focused on my goals. It encourages me to take part in volunteering, learn from different environments, and stay open to new experiences. When I face challenges, it helps me not lose direction and continue working step by step. Over time, I have realized that passion is what turns goals into something I genuinely invest in, not just plan.</v>
      </c>
      <c r="AR21" s="61" t="str">
        <f>IFERROR(__xludf.DUMMYFUNCTION("""COMPUTED_VALUE"""),"I would not describe creativity as something limited to art or design. For me, it is more about finding simple and effective ways to connect people and ideas. I try to approach situations with curiosity, especially when working with different cultures and"&amp;" perspectives. In public diplomacy, I think creativity helps make communication more natural and understandable. Instead of only formal messages, using storytelling, dialogue, or cultural exchange can make ideas easier to relate to. I believe it becomes a"&amp;" strategy when it helps people understand each other better, not just exchange information. From my experience in volunteering and international settings, I have seen that even small, open conversations can create stronger connections than formal communic"&amp;"ation alone.")</f>
        <v>I would not describe creativity as something limited to art or design. For me, it is more about finding simple and effective ways to connect people and ideas. I try to approach situations with curiosity, especially when working with different cultures and perspectives. In public diplomacy, I think creativity helps make communication more natural and understandable. Instead of only formal messages, using storytelling, dialogue, or cultural exchange can make ideas easier to relate to. I believe it becomes a strategy when it helps people understand each other better, not just exchange information. From my experience in volunteering and international settings, I have seen that even small, open conversations can create stronger connections than formal communication alone.</v>
      </c>
      <c r="AS21" s="61" t="str">
        <f>IFERROR(__xludf.DUMMYFUNCTION("""COMPUTED_VALUE"""),"Yes")</f>
        <v>Yes</v>
      </c>
      <c r="AT21" s="61" t="str">
        <f>IFERROR(__xludf.DUMMYFUNCTION("""COMPUTED_VALUE"""),"Yes")</f>
        <v>Yes</v>
      </c>
      <c r="AU21" s="61" t="str">
        <f>IFERROR(__xludf.DUMMYFUNCTION("""COMPUTED_VALUE"""),"Global Politics, Diplomacy &amp; Identities")</f>
        <v>Global Politics, Diplomacy &amp; Identities</v>
      </c>
      <c r="AV21" s="61" t="str">
        <f>IFERROR(__xludf.DUMMYFUNCTION("""COMPUTED_VALUE"""),"LinkedIn")</f>
        <v>LinkedIn</v>
      </c>
      <c r="AW21" s="61" t="str">
        <f>IFERROR(__xludf.DUMMYFUNCTION("""COMPUTED_VALUE"""),"Public Diplomacy")</f>
        <v>Public Diplomacy</v>
      </c>
      <c r="AX21" s="66" t="str">
        <f>IFERROR(__xludf.DUMMYFUNCTION("""COMPUTED_VALUE"""),"Yes")</f>
        <v>Yes</v>
      </c>
      <c r="AY21" s="66">
        <f>IFERROR(__xludf.DUMMYFUNCTION("""COMPUTED_VALUE"""),15.99)</f>
        <v>15.99</v>
      </c>
      <c r="AZ21" s="61"/>
      <c r="BA21" s="61"/>
      <c r="BB21" s="61"/>
      <c r="BC21" s="61"/>
      <c r="BD21" s="61"/>
      <c r="BE21" s="61"/>
      <c r="BF21" s="61"/>
      <c r="BG21" s="61"/>
      <c r="BH21" s="61"/>
      <c r="BI21" s="61"/>
      <c r="BJ21" s="61"/>
      <c r="BK21" s="61"/>
      <c r="BL21" s="61"/>
      <c r="BM21" s="61"/>
      <c r="BN21" s="61"/>
      <c r="BO21" s="61"/>
      <c r="BP21" s="61"/>
      <c r="BQ21" s="61"/>
      <c r="BR21" s="61"/>
    </row>
    <row r="22" ht="15.75" customHeight="1">
      <c r="A22" s="61" t="str">
        <f>IFERROR(__xludf.DUMMYFUNCTION("""COMPUTED_VALUE"""),"Partial")</f>
        <v>Partial</v>
      </c>
      <c r="B22" s="62">
        <f>IFERROR(__xludf.DUMMYFUNCTION("""COMPUTED_VALUE"""),33.0)</f>
        <v>33</v>
      </c>
      <c r="C22" s="61" t="str">
        <f>IFERROR(__xludf.DUMMYFUNCTION("""COMPUTED_VALUE"""),"Partial")</f>
        <v>Partial</v>
      </c>
      <c r="D22" s="63" t="str">
        <f>IFERROR(__xludf.DUMMYFUNCTION("""COMPUTED_VALUE"""),"Submitted")</f>
        <v>Submitted</v>
      </c>
      <c r="E22" s="63">
        <f>IFERROR(__xludf.DUMMYFUNCTION("""COMPUTED_VALUE"""),46186.87847222222)</f>
        <v>46186.87847</v>
      </c>
      <c r="F22" s="61" t="str">
        <f>IFERROR(__xludf.DUMMYFUNCTION("""COMPUTED_VALUE"""),"Nguyen Thi Lam Ha")</f>
        <v>Nguyen Thi Lam Ha</v>
      </c>
      <c r="G22" s="61" t="str">
        <f>IFERROR(__xludf.DUMMYFUNCTION("""COMPUTED_VALUE"""),"Nguyen Thi Lam Ha")</f>
        <v>Nguyen Thi Lam Ha</v>
      </c>
      <c r="H22" s="61" t="str">
        <f>IFERROR(__xludf.DUMMYFUNCTION("""COMPUTED_VALUE"""),"lamhanguyen0303@gmail.com")</f>
        <v>lamhanguyen0303@gmail.com</v>
      </c>
      <c r="I22" s="61" t="str">
        <f>IFERROR(__xludf.DUMMYFUNCTION("""COMPUTED_VALUE"""),"lamhanguyen0303@gmail.com")</f>
        <v>lamhanguyen0303@gmail.com</v>
      </c>
      <c r="J22" s="61" t="str">
        <f>IFERROR(__xludf.DUMMYFUNCTION("""COMPUTED_VALUE"""),"9A Thanh Xuan Street, Thoi An District, Ho Chi Minh city, Vietnam")</f>
        <v>9A Thanh Xuan Street, Thoi An District, Ho Chi Minh city, Vietnam</v>
      </c>
      <c r="K22" s="61" t="str">
        <f>IFERROR(__xludf.DUMMYFUNCTION("""COMPUTED_VALUE"""),"Vietnamese")</f>
        <v>Vietnamese</v>
      </c>
      <c r="L22" s="64" t="str">
        <f>IFERROR(__xludf.DUMMYFUNCTION("""COMPUTED_VALUE"""),"+84 96 290 2435")</f>
        <v>+84 96 290 2435</v>
      </c>
      <c r="M22" s="64">
        <f>IFERROR(__xludf.DUMMYFUNCTION("""COMPUTED_VALUE"""),34549.0)</f>
        <v>34549</v>
      </c>
      <c r="N22" s="61" t="str">
        <f>IFERROR(__xludf.DUMMYFUNCTION("""COMPUTED_VALUE"""),"E03940292")</f>
        <v>E03940292</v>
      </c>
      <c r="O22" s="61" t="str">
        <f>IFERROR(__xludf.DUMMYFUNCTION("""COMPUTED_VALUE"""),"+84 83 976 3736")</f>
        <v>+84 83 976 3736</v>
      </c>
      <c r="P22" s="61"/>
      <c r="Q22" s="61"/>
      <c r="R22" s="61"/>
      <c r="S22" s="61" t="str">
        <f>IFERROR(__xludf.DUMMYFUNCTION("""COMPUTED_VALUE"""),"Passport Lam Ha.pdf")</f>
        <v>Passport Lam Ha.pdf</v>
      </c>
      <c r="T22" s="61" t="str">
        <f>IFERROR(__xludf.DUMMYFUNCTION("""COMPUTED_VALUE"""),"Snapseed.jpg")</f>
        <v>Snapseed.jpg</v>
      </c>
      <c r="U22" s="61" t="str">
        <f>IFERROR(__xludf.DUMMYFUNCTION("""COMPUTED_VALUE"""),"Postgraduate")</f>
        <v>Postgraduate</v>
      </c>
      <c r="V22" s="61" t="str">
        <f>IFERROR(__xludf.DUMMYFUNCTION("""COMPUTED_VALUE"""),"Master of Science")</f>
        <v>Master of Science</v>
      </c>
      <c r="W22" s="61"/>
      <c r="X22" s="61" t="str">
        <f>IFERROR(__xludf.DUMMYFUNCTION("""COMPUTED_VALUE"""),"University of Social Sciences and Humanities - Vietnam National University Ho Chi Minh City")</f>
        <v>University of Social Sciences and Humanities - Vietnam National University Ho Chi Minh City</v>
      </c>
      <c r="Y22" s="61" t="str">
        <f>IFERROR(__xludf.DUMMYFUNCTION("""COMPUTED_VALUE"""),"Yes")</f>
        <v>Yes</v>
      </c>
      <c r="Z22" s="61" t="str">
        <f>IFERROR(__xludf.DUMMYFUNCTION("""COMPUTED_VALUE"""),"Vietnam")</f>
        <v>Vietnam</v>
      </c>
      <c r="AA22" s="61" t="str">
        <f>IFERROR(__xludf.DUMMYFUNCTION("""COMPUTED_VALUE"""),"No")</f>
        <v>No</v>
      </c>
      <c r="AB22" s="61" t="str">
        <f>IFERROR(__xludf.DUMMYFUNCTION("""COMPUTED_VALUE"""),"University of Social Sciences and Humanities - Vietnam National University Ho Chi Minh City")</f>
        <v>University of Social Sciences and Humanities - Vietnam National University Ho Chi Minh City</v>
      </c>
      <c r="AC22" s="61" t="str">
        <f>IFERROR(__xludf.DUMMYFUNCTION("""COMPUTED_VALUE"""),"Yes, I am. I'm currently studying Sociology in Vietnam, and academic research is my primary focus during my studies. My research mainly focuses on marginalized communities in Vietnam such as prison inmates and street children.")</f>
        <v>Yes, I am. I'm currently studying Sociology in Vietnam, and academic research is my primary focus during my studies. My research mainly focuses on marginalized communities in Vietnam such as prison inmates and street children.</v>
      </c>
      <c r="AD22" s="61" t="str">
        <f>IFERROR(__xludf.DUMMYFUNCTION("""COMPUTED_VALUE"""),"I have participated in numerous community organizations. This included self-organizing a project called ""Finding Joy"" - Đi Tìm Niềm Vui - Funded by artist Ninh Duong Lan Ngoc - where I personally planned and executed programs to build playgrounds based "&amp;"on cultural of local people and infrastructure for children across Vietnam. Additionally, I frequently participate in mangrove planting initiatives for The Green Happiness - Hạnh Phúc Xanh fund under Sống Foundation. In addition, I am a documentary filmma"&amp;"ker in Vietnam, collaborating with NGOs and NPOs both locally and globally. My films focus on environmental protection, wildlife conservation, flood relief assistance, and supporting ethnic minority communities. I have worked on behalf of prominent organi"&amp;"zations such as WWF, Save Vietnam's Wildlife, Nhà Chống Lũ, and Oxfam Vietnam.")</f>
        <v>I have participated in numerous community organizations. This included self-organizing a project called "Finding Joy" - Đi Tìm Niềm Vui - Funded by artist Ninh Duong Lan Ngoc - where I personally planned and executed programs to build playgrounds based on cultural of local people and infrastructure for children across Vietnam. Additionally, I frequently participate in mangrove planting initiatives for The Green Happiness - Hạnh Phúc Xanh fund under Sống Foundation. In addition, I am a documentary filmmaker in Vietnam, collaborating with NGOs and NPOs both locally and globally. My films focus on environmental protection, wildlife conservation, flood relief assistance, and supporting ethnic minority communities. I have worked on behalf of prominent organizations such as WWF, Save Vietnam's Wildlife, Nhà Chống Lũ, and Oxfam Vietnam.</v>
      </c>
      <c r="AE22" s="65" t="str">
        <f>IFERROR(__xludf.DUMMYFUNCTION("""COMPUTED_VALUE"""),"https://thenomads.vn/")</f>
        <v>https://thenomads.vn/</v>
      </c>
      <c r="AF22" s="61" t="str">
        <f>IFERROR(__xludf.DUMMYFUNCTION("""COMPUTED_VALUE"""),"Producer/ Project Manager")</f>
        <v>Producer/ Project Manager</v>
      </c>
      <c r="AG22" s="61" t="str">
        <f>IFERROR(__xludf.DUMMYFUNCTION("""COMPUTED_VALUE"""),"over 10 years experience")</f>
        <v>over 10 years experience</v>
      </c>
      <c r="AH22" s="61" t="str">
        <f>IFERROR(__xludf.DUMMYFUNCTION("""COMPUTED_VALUE"""),"Yes")</f>
        <v>Yes</v>
      </c>
      <c r="AI22" s="61" t="str">
        <f>IFERROR(__xludf.DUMMYFUNCTION("""COMPUTED_VALUE"""),"CEO/ Project Manager")</f>
        <v>CEO/ Project Manager</v>
      </c>
      <c r="AJ22" s="61" t="str">
        <f>IFERROR(__xludf.DUMMYFUNCTION("""COMPUTED_VALUE"""),"Yes, I have a small media company which support creative the documentary film in Vietnam.")</f>
        <v>Yes, I have a small media company which support creative the documentary film in Vietnam.</v>
      </c>
      <c r="AK22" s="61" t="str">
        <f>IFERROR(__xludf.DUMMYFUNCTION("""COMPUTED_VALUE"""),"Cây Nhỏ Media Co., Ltd. | Tax Code: 0318258949
15/40/27 Street No. 59, An Hoi Tay Ward, Ho Chi Minh City, Vietnam. Website: https://caynho.media/.")</f>
        <v>Cây Nhỏ Media Co., Ltd. | Tax Code: 0318258949
15/40/27 Street No. 59, An Hoi Tay Ward, Ho Chi Minh City, Vietnam. Website: https://caynho.media/.</v>
      </c>
      <c r="AL22" s="61" t="str">
        <f>IFERROR(__xludf.DUMMYFUNCTION("""COMPUTED_VALUE"""),"Writer, Creative Producer, Director, Project Manager, Content Consultancy")</f>
        <v>Writer, Creative Producer, Director, Project Manager, Content Consultancy</v>
      </c>
      <c r="AM22" s="61" t="str">
        <f>IFERROR(__xludf.DUMMYFUNCTION("""COMPUTED_VALUE"""),"CV_Lam Hà_2026 .pdf")</f>
        <v>CV_Lam Hà_2026 .pdf</v>
      </c>
      <c r="AN22" s="61" t="str">
        <f>IFERROR(__xludf.DUMMYFUNCTION("""COMPUTED_VALUE"""),"Growing up amidst domestic violence and limited education after my parent's divorce at age seven, I realized my father was also trapped by lack of emotional education in post- war Vietnam. Instead of resentment, this fueled my belief that holistic educati"&amp;"on-encompassing mental and physical health-is vital for better life. As a sociology student and filmmaker, I research how educational access and mental health impact juvenile inmates. My goal is to design cognitive education programs that heal past trauma"&amp;", empowering marginalized youth to break the cycle and contribute meaningfully to society.")</f>
        <v>Growing up amidst domestic violence and limited education after my parent's divorce at age seven, I realized my father was also trapped by lack of emotional education in post- war Vietnam. Instead of resentment, this fueled my belief that holistic education-encompassing mental and physical health-is vital for better life. As a sociology student and filmmaker, I research how educational access and mental health impact juvenile inmates. My goal is to design cognitive education programs that heal past trauma, empowering marginalized youth to break the cycle and contribute meaningfully to society.</v>
      </c>
      <c r="AO22" s="61" t="str">
        <f>IFERROR(__xludf.DUMMYFUNCTION("""COMPUTED_VALUE"""),"I believe the diplomatic trend is shifting toward Asian nations, especially those deeply rooted in spirituality and inner healing. While economic superpowers dominate global headlines, I observe a growing migration and tourism trend from Western countries"&amp;" to Asia. People seek nations with high national security, profound faith, and unique spiritual cultures that foster soul-healing and self-reflection. In an anxious world, these countries offer a sanctuary to reclaim personal peace and cosmic energy. Ulti"&amp;"mately, this spiritual stability becomes a vital diplomatic force, contributing to the ultimate peace of both individuals and humanity.")</f>
        <v>I believe the diplomatic trend is shifting toward Asian nations, especially those deeply rooted in spirituality and inner healing. While economic superpowers dominate global headlines, I observe a growing migration and tourism trend from Western countries to Asia. People seek nations with high national security, profound faith, and unique spiritual cultures that foster soul-healing and self-reflection. In an anxious world, these countries offer a sanctuary to reclaim personal peace and cosmic energy. Ultimately, this spiritual stability becomes a vital diplomatic force, contributing to the ultimate peace of both individuals and humanity.</v>
      </c>
      <c r="AP22" s="61" t="str">
        <f>IFERROR(__xludf.DUMMYFUNCTION("""COMPUTED_VALUE"""),"My nation is currently undergoing a governance transition, powered by a massive youth force as Vietnam embraces its golden demography. This represents a monumental opportunity for young leaders like myself. As both a sociologist and a documentary filmmake"&amp;"r, I leverage the power of visual storytelling to connect people and project critical narratives far beyond domestic borders. I have already initiated this path by bringing ""Where is the Shepherd Boy?"", my documentary on Vietnamese climate change, to th"&amp;"e 2025 CCCL Film Festival in Bangkok. Through film, I directly engage the younger generation- the future architects who will shape global awareness across culture, history, and science. This potential inspired me to transition from a filmmaker to a sociol"&amp;"ogist. Advancing my academic studies enhances my professional expertise, ensuring my research is both structurally sound and deeply impactful. I firmly believe that a compelling story creates a great film, and a great film has the transcendent power to to"&amp;"uch and transform the entire world.")</f>
        <v>My nation is currently undergoing a governance transition, powered by a massive youth force as Vietnam embraces its golden demography. This represents a monumental opportunity for young leaders like myself. As both a sociologist and a documentary filmmaker, I leverage the power of visual storytelling to connect people and project critical narratives far beyond domestic borders. I have already initiated this path by bringing "Where is the Shepherd Boy?", my documentary on Vietnamese climate change, to the 2025 CCCL Film Festival in Bangkok. Through film, I directly engage the younger generation- the future architects who will shape global awareness across culture, history, and science. This potential inspired me to transition from a filmmaker to a sociologist. Advancing my academic studies enhances my professional expertise, ensuring my research is both structurally sound and deeply impactful. I firmly believe that a compelling story creates a great film, and a great film has the transcendent power to touch and transform the entire world.</v>
      </c>
      <c r="AQ22" s="61" t="str">
        <f>IFERROR(__xludf.DUMMYFUNCTION("""COMPUTED_VALUE"""),"To me, passion is the driving force that makes me wake up every day, eager to work without any pressure. I discovered my passion during 2019-COVID 19 pandemic. Witnessing immense daily loss during Vietnam's six-month lockdown made me realize how fragile l"&amp;"ife is, inspiring me to live purposefully. Analyzing my strengths, I found absolute joy in documentary filmmaking. My sharp intuition and observation skills allow me to capture raw human emotions, our relationship with nature, and the vulnerability of cul"&amp;"ture that risk vanishing without a storyteller. Traveling to neighboring countries further my deep concern and desire to preserve my own nation's culture heritage. Fueled by these goals, I create documentary projects to archive and screen these crucial st"&amp;"ories globally. I believe films are not just art, but highly accurate historical archives that will enrich future sociological research.")</f>
        <v>To me, passion is the driving force that makes me wake up every day, eager to work without any pressure. I discovered my passion during 2019-COVID 19 pandemic. Witnessing immense daily loss during Vietnam's six-month lockdown made me realize how fragile life is, inspiring me to live purposefully. Analyzing my strengths, I found absolute joy in documentary filmmaking. My sharp intuition and observation skills allow me to capture raw human emotions, our relationship with nature, and the vulnerability of culture that risk vanishing without a storyteller. Traveling to neighboring countries further my deep concern and desire to preserve my own nation's culture heritage. Fueled by these goals, I create documentary projects to archive and screen these crucial stories globally. I believe films are not just art, but highly accurate historical archives that will enrich future sociological research.</v>
      </c>
      <c r="AR22" s="61" t="str">
        <f>IFERROR(__xludf.DUMMYFUNCTION("""COMPUTED_VALUE"""),"I am not only a creative individual but also a scientist, as evidenced by my current work. My creativity is deeply rooted in daily life and my firsthand experiences with the world through the lens of a sociologist. This dual identity ensures my projects r"&amp;"emain highly practical, beautifully balancing artistic expression with empirical research data. By infusing rigid data with an artistic perspective, I strip away the dryness of raw information, making it accessible to a wider audience, including children,"&amp;" youth, and fellow scientists. I believe that when a piece of work sparks genuine curiosity and engagement, individuals are naturally driven to actively learn and investigate on their own.  This proactive exploration helps people internalize and remember "&amp;"knowledge far longer than they would by simply reading dense summaries, statistic, and numbers that are traditionally, this approach turns passive readers into active thinkers, bridge-building the gap between science and society.")</f>
        <v>I am not only a creative individual but also a scientist, as evidenced by my current work. My creativity is deeply rooted in daily life and my firsthand experiences with the world through the lens of a sociologist. This dual identity ensures my projects remain highly practical, beautifully balancing artistic expression with empirical research data. By infusing rigid data with an artistic perspective, I strip away the dryness of raw information, making it accessible to a wider audience, including children, youth, and fellow scientists. I believe that when a piece of work sparks genuine curiosity and engagement, individuals are naturally driven to actively learn and investigate on their own.  This proactive exploration helps people internalize and remember knowledge far longer than they would by simply reading dense summaries, statistic, and numbers that are traditionally, this approach turns passive readers into active thinkers, bridge-building the gap between science and society.</v>
      </c>
      <c r="AS22" s="61" t="str">
        <f>IFERROR(__xludf.DUMMYFUNCTION("""COMPUTED_VALUE"""),"Yes")</f>
        <v>Yes</v>
      </c>
      <c r="AT22" s="61" t="str">
        <f>IFERROR(__xludf.DUMMYFUNCTION("""COMPUTED_VALUE"""),"Yes")</f>
        <v>Yes</v>
      </c>
      <c r="AU22" s="61" t="str">
        <f>IFERROR(__xludf.DUMMYFUNCTION("""COMPUTED_VALUE"""),"Arts, Culture &amp; Soft Power")</f>
        <v>Arts, Culture &amp; Soft Power</v>
      </c>
      <c r="AV22" s="61" t="str">
        <f>IFERROR(__xludf.DUMMYFUNCTION("""COMPUTED_VALUE"""),"Social Media")</f>
        <v>Social Media</v>
      </c>
      <c r="AW22" s="61"/>
      <c r="AX22" s="66" t="str">
        <f>IFERROR(__xludf.DUMMYFUNCTION("""COMPUTED_VALUE"""),"Yes")</f>
        <v>Yes</v>
      </c>
      <c r="AY22" s="66">
        <f>IFERROR(__xludf.DUMMYFUNCTION("""COMPUTED_VALUE"""),15.99)</f>
        <v>15.99</v>
      </c>
      <c r="AZ22" s="61"/>
      <c r="BA22" s="61"/>
      <c r="BB22" s="61"/>
      <c r="BC22" s="61"/>
      <c r="BD22" s="61"/>
      <c r="BE22" s="61"/>
      <c r="BF22" s="61"/>
      <c r="BG22" s="61"/>
      <c r="BH22" s="61"/>
      <c r="BI22" s="61"/>
      <c r="BJ22" s="61"/>
      <c r="BK22" s="61"/>
      <c r="BL22" s="61"/>
      <c r="BM22" s="61"/>
      <c r="BN22" s="61"/>
      <c r="BO22" s="61"/>
      <c r="BP22" s="61"/>
      <c r="BQ22" s="61"/>
      <c r="BR22" s="61"/>
    </row>
    <row r="23" ht="15.75" customHeight="1">
      <c r="A23" s="61" t="str">
        <f>IFERROR(__xludf.DUMMYFUNCTION("""COMPUTED_VALUE"""),"Partial")</f>
        <v>Partial</v>
      </c>
      <c r="B23" s="62">
        <f>IFERROR(__xludf.DUMMYFUNCTION("""COMPUTED_VALUE"""),34.0)</f>
        <v>34</v>
      </c>
      <c r="C23" s="61" t="str">
        <f>IFERROR(__xludf.DUMMYFUNCTION("""COMPUTED_VALUE"""),"Partial")</f>
        <v>Partial</v>
      </c>
      <c r="D23" s="63" t="str">
        <f>IFERROR(__xludf.DUMMYFUNCTION("""COMPUTED_VALUE"""),"Submitted")</f>
        <v>Submitted</v>
      </c>
      <c r="E23" s="63">
        <f>IFERROR(__xludf.DUMMYFUNCTION("""COMPUTED_VALUE"""),46186.96527777778)</f>
        <v>46186.96528</v>
      </c>
      <c r="F23" s="61" t="str">
        <f>IFERROR(__xludf.DUMMYFUNCTION("""COMPUTED_VALUE"""),"Mohamed Salah Abd El Aziz")</f>
        <v>Mohamed Salah Abd El Aziz</v>
      </c>
      <c r="G23" s="61" t="str">
        <f>IFERROR(__xludf.DUMMYFUNCTION("""COMPUTED_VALUE"""),"Mohamed Salah Mohamed Abd El Aziz")</f>
        <v>Mohamed Salah Mohamed Abd El Aziz</v>
      </c>
      <c r="H23" s="61" t="str">
        <f>IFERROR(__xludf.DUMMYFUNCTION("""COMPUTED_VALUE"""),"muhumed.salah00@outlook.com")</f>
        <v>muhumed.salah00@outlook.com</v>
      </c>
      <c r="I23" s="61" t="str">
        <f>IFERROR(__xludf.DUMMYFUNCTION("""COMPUTED_VALUE"""),"M.salahmohamed21@gmail.com")</f>
        <v>M.salahmohamed21@gmail.com</v>
      </c>
      <c r="J23" s="61" t="str">
        <f>IFERROR(__xludf.DUMMYFUNCTION("""COMPUTED_VALUE"""),"Abu Dhabi - Mbz, Abu Dhabi, United Arab Emirates")</f>
        <v>Abu Dhabi - Mbz, Abu Dhabi, United Arab Emirates</v>
      </c>
      <c r="K23" s="61" t="str">
        <f>IFERROR(__xludf.DUMMYFUNCTION("""COMPUTED_VALUE"""),"Egyption")</f>
        <v>Egyption</v>
      </c>
      <c r="L23" s="64" t="str">
        <f>IFERROR(__xludf.DUMMYFUNCTION("""COMPUTED_VALUE"""),"+971505483474")</f>
        <v>+971505483474</v>
      </c>
      <c r="M23" s="64">
        <f>IFERROR(__xludf.DUMMYFUNCTION("""COMPUTED_VALUE"""),35413.0)</f>
        <v>35413</v>
      </c>
      <c r="N23" s="61" t="str">
        <f>IFERROR(__xludf.DUMMYFUNCTION("""COMPUTED_VALUE"""),"A31284726")</f>
        <v>A31284726</v>
      </c>
      <c r="O23" s="61" t="str">
        <f>IFERROR(__xludf.DUMMYFUNCTION("""COMPUTED_VALUE"""),"+971505483474")</f>
        <v>+971505483474</v>
      </c>
      <c r="P23" s="67" t="str">
        <f>IFERROR(__xludf.DUMMYFUNCTION("""COMPUTED_VALUE"""),"https://www.linkedin.com/in/muhumedsalah01/")</f>
        <v>https://www.linkedin.com/in/muhumedsalah01/</v>
      </c>
      <c r="Q23" s="67" t="str">
        <f>IFERROR(__xludf.DUMMYFUNCTION("""COMPUTED_VALUE"""),"https://www.instagram.com/muhu_med/")</f>
        <v>https://www.instagram.com/muhu_med/</v>
      </c>
      <c r="R23" s="61"/>
      <c r="S23" s="61" t="str">
        <f>IFERROR(__xludf.DUMMYFUNCTION("""COMPUTED_VALUE"""),"Passport.jpeg")</f>
        <v>Passport.jpeg</v>
      </c>
      <c r="T23" s="61" t="str">
        <f>IFERROR(__xludf.DUMMYFUNCTION("""COMPUTED_VALUE"""),"M.S Profile pic.jpeg")</f>
        <v>M.S Profile pic.jpeg</v>
      </c>
      <c r="U23" s="61" t="str">
        <f>IFERROR(__xludf.DUMMYFUNCTION("""COMPUTED_VALUE"""),"Masters of Engineering")</f>
        <v>Masters of Engineering</v>
      </c>
      <c r="V23" s="61" t="str">
        <f>IFERROR(__xludf.DUMMYFUNCTION("""COMPUTED_VALUE"""),"Engineering")</f>
        <v>Engineering</v>
      </c>
      <c r="W23" s="61" t="str">
        <f>IFERROR(__xludf.DUMMYFUNCTION("""COMPUTED_VALUE"""),"Geotechnical Enginnering")</f>
        <v>Geotechnical Enginnering</v>
      </c>
      <c r="X23" s="61" t="str">
        <f>IFERROR(__xludf.DUMMYFUNCTION("""COMPUTED_VALUE"""),"Cairo Univerisity")</f>
        <v>Cairo Univerisity</v>
      </c>
      <c r="Y23" s="61" t="str">
        <f>IFERROR(__xludf.DUMMYFUNCTION("""COMPUTED_VALUE"""),"Yes")</f>
        <v>Yes</v>
      </c>
      <c r="Z23" s="61" t="str">
        <f>IFERROR(__xludf.DUMMYFUNCTION("""COMPUTED_VALUE"""),"Egypt")</f>
        <v>Egypt</v>
      </c>
      <c r="AA23" s="61" t="str">
        <f>IFERROR(__xludf.DUMMYFUNCTION("""COMPUTED_VALUE"""),"Yes")</f>
        <v>Yes</v>
      </c>
      <c r="AB23" s="61" t="str">
        <f>IFERROR(__xludf.DUMMYFUNCTION("""COMPUTED_VALUE"""),"MBA")</f>
        <v>MBA</v>
      </c>
      <c r="AC23" s="61" t="str">
        <f>IFERROR(__xludf.DUMMYFUNCTION("""COMPUTED_VALUE"""),"yea")</f>
        <v>yea</v>
      </c>
      <c r="AD23" s="61" t="str">
        <f>IFERROR(__xludf.DUMMYFUNCTION("""COMPUTED_VALUE"""),"Resala")</f>
        <v>Resala</v>
      </c>
      <c r="AE23" s="65" t="str">
        <f>IFERROR(__xludf.DUMMYFUNCTION("""COMPUTED_VALUE"""),"https://resala.org/")</f>
        <v>https://resala.org/</v>
      </c>
      <c r="AF23" s="61" t="str">
        <f>IFERROR(__xludf.DUMMYFUNCTION("""COMPUTED_VALUE"""),"volunteer and marketing team")</f>
        <v>volunteer and marketing team</v>
      </c>
      <c r="AG23" s="61" t="str">
        <f>IFERROR(__xludf.DUMMYFUNCTION("""COMPUTED_VALUE"""),"10")</f>
        <v>10</v>
      </c>
      <c r="AH23" s="61" t="str">
        <f>IFERROR(__xludf.DUMMYFUNCTION("""COMPUTED_VALUE"""),"Yes")</f>
        <v>Yes</v>
      </c>
      <c r="AI23" s="61" t="str">
        <f>IFERROR(__xludf.DUMMYFUNCTION("""COMPUTED_VALUE"""),"Geotechnical Bussiness Development Engineer")</f>
        <v>Geotechnical Bussiness Development Engineer</v>
      </c>
      <c r="AJ23" s="61" t="str">
        <f>IFERROR(__xludf.DUMMYFUNCTION("""COMPUTED_VALUE"""),"yea")</f>
        <v>yea</v>
      </c>
      <c r="AK23" s="61"/>
      <c r="AL23" s="61" t="str">
        <f>IFERROR(__xludf.DUMMYFUNCTION("""COMPUTED_VALUE"""),"Engineering -  Sales - Marketing - Research")</f>
        <v>Engineering -  Sales - Marketing - Research</v>
      </c>
      <c r="AM23" s="61" t="str">
        <f>IFERROR(__xludf.DUMMYFUNCTION("""COMPUTED_VALUE"""),"Mohamed Salah,Geotechnical &amp; Business Development Engineer.pdf")</f>
        <v>Mohamed Salah,Geotechnical &amp; Business Development Engineer.pdf</v>
      </c>
      <c r="AN23" s="61" t="str">
        <f>IFERROR(__xludf.DUMMYFUNCTION("""COMPUTED_VALUE"""),"Yes, I believe changing the world begins with creating positive impact in the communities and environments we are part of. Throughout my academic and professional journey in engineering and business development, I have focused on delivering solutions that"&amp;" improve infrastructure, support sustainable development, and create value for people. I have contributed by sharing knowledge, mentoring colleagues, supporting teamwork, and promoting innovation in my workplace. I believe every individual can influence c"&amp;"hange through integrity, continuous learning, and responsibility. My goal is to combine technical expertise, leadership, and diplomacy to contribute to meaningful global progress.")</f>
        <v>Yes, I believe changing the world begins with creating positive impact in the communities and environments we are part of. Throughout my academic and professional journey in engineering and business development, I have focused on delivering solutions that improve infrastructure, support sustainable development, and create value for people. I have contributed by sharing knowledge, mentoring colleagues, supporting teamwork, and promoting innovation in my workplace. I believe every individual can influence change through integrity, continuous learning, and responsibility. My goal is to combine technical expertise, leadership, and diplomacy to contribute to meaningful global progress.</v>
      </c>
      <c r="AO23" s="61" t="str">
        <f>IFERROR(__xludf.DUMMYFUNCTION("""COMPUTED_VALUE"""),"A diplomatically significant country is one that has the ability to influence global cooperation, stability, and dialogue. In my view, the United States holds significant diplomatic influence due to its global partnerships, economic strength, and role in "&amp;"international organizations. However, diplomacy is not only about power; countries such as the United Arab Emirates also demonstrate the importance of strategic diplomacy through mediation, humanitarian initiatives, economic partnerships, and cultural exc"&amp;"hange. The most diplomatically significant countries are those that use their influence responsibly to promote peace, development, and collaboration among nations.")</f>
        <v>A diplomatically significant country is one that has the ability to influence global cooperation, stability, and dialogue. In my view, the United States holds significant diplomatic influence due to its global partnerships, economic strength, and role in international organizations. However, diplomacy is not only about power; countries such as the United Arab Emirates also demonstrate the importance of strategic diplomacy through mediation, humanitarian initiatives, economic partnerships, and cultural exchange. The most diplomatically significant countries are those that use their influence responsibly to promote peace, development, and collaboration among nations.</v>
      </c>
      <c r="AP23" s="61" t="str">
        <f>IFERROR(__xludf.DUMMYFUNCTION("""COMPUTED_VALUE"""),"Youth have a crucial role in shaping modern diplomacy because they represent the future leaders, innovators, and bridge-builders between cultures. In today’s interconnected world, diplomacy is no longer limited to governments; individuals, communities, an"&amp;"d young professionals can influence international relations through communication, technology, entrepreneurship, and cultural exchange.
Public diplomacy focuses on building relationships between people and nations by promoting understanding, trust, and s"&amp;"hared values. I strongly relate to this concept because my professional experience has exposed me to multicultural environments where collaboration between different nationalities is essential for success. Through my work in engineering and business devel"&amp;"opment, I have learned that effective communication and respect for cultural differences are key to building strong partnerships.
Young people can contribute to public diplomacy by using digital platforms responsibly, sharing knowledge, participating in "&amp;"international programs, and creating initiatives that connect communities. I believe youth should not only observe global challenges but actively participate in solving them through innovation, dialogue, and cooperation.")</f>
        <v>Youth have a crucial role in shaping modern diplomacy because they represent the future leaders, innovators, and bridge-builders between cultures. In today’s interconnected world, diplomacy is no longer limited to governments; individuals, communities, and young professionals can influence international relations through communication, technology, entrepreneurship, and cultural exchange.
Public diplomacy focuses on building relationships between people and nations by promoting understanding, trust, and shared values. I strongly relate to this concept because my professional experience has exposed me to multicultural environments where collaboration between different nationalities is essential for success. Through my work in engineering and business development, I have learned that effective communication and respect for cultural differences are key to building strong partnerships.
Young people can contribute to public diplomacy by using digital platforms responsibly, sharing knowledge, participating in international programs, and creating initiatives that connect communities. I believe youth should not only observe global challenges but actively participate in solving them through innovation, dialogue, and cooperation.</v>
      </c>
      <c r="AQ23" s="61" t="str">
        <f>IFERROR(__xludf.DUMMYFUNCTION("""COMPUTED_VALUE"""),"Passion is the inner motivation that drives individuals to pursue excellence, overcome challenges, and continuously improve. It gives purpose to our efforts and transforms ordinary tasks into meaningful achievements.
For me, passion represents curiosity,"&amp;" commitment, and the desire to create value. My passion for engineering, leadership, and continuous learning has helped me develop professionally and personally. It encouraged me to expand my knowledge beyond technical expertise into areas such as busines"&amp;"s strategy, management, and international cooperation.
Passion helps me achieve my goals by maintaining my motivation during difficult situations and inspiring me to seek innovative solutions. It pushes me to learn from experiences, build relationships, "&amp;"and contribute positively to my organization and society. I believe passionate individuals have the ability to inspire others and create lasting impact.")</f>
        <v>Passion is the inner motivation that drives individuals to pursue excellence, overcome challenges, and continuously improve. It gives purpose to our efforts and transforms ordinary tasks into meaningful achievements.
For me, passion represents curiosity, commitment, and the desire to create value. My passion for engineering, leadership, and continuous learning has helped me develop professionally and personally. It encouraged me to expand my knowledge beyond technical expertise into areas such as business strategy, management, and international cooperation.
Passion helps me achieve my goals by maintaining my motivation during difficult situations and inspiring me to seek innovative solutions. It pushes me to learn from experiences, build relationships, and contribute positively to my organization and society. I believe passionate individuals have the ability to inspire others and create lasting impact.</v>
      </c>
      <c r="AR23" s="61" t="str">
        <f>IFERROR(__xludf.DUMMYFUNCTION("""COMPUTED_VALUE"""),"Yes, I consider myself a creative person because I always look for innovative approaches to solve problems and create opportunities. Creativity is not only about artistic expression; it is also about finding new perspectives, connecting ideas, and develop"&amp;"ing practical solutions.
Through my experience in engineering and business development, I have learned to combine technical thinking with strategic communication. This mindset can contribute to effective public diplomacy strategies by creating initiative"&amp;"s that connect people, cultures, and institutions.
I believe creativity can support public diplomacy through digital storytelling, cultural exchange programs, educational initiatives, and platforms that highlight shared human values. By using technology "&amp;"and communication tools effectively, we can promote mutual understanding between different societies.
My approach would focus on transforming professional networks and cultural diversity into opportunities for collaboration. A successful public diplomacy"&amp;" strategy should not only communicate a country’s achievements but also listen, engage, and build trust with global communities. Creativity enables diplomacy to become more inclusive, human-centered, and impactful.")</f>
        <v>Yes, I consider myself a creative person because I always look for innovative approaches to solve problems and create opportunities. Creativity is not only about artistic expression; it is also about finding new perspectives, connecting ideas, and developing practical solutions.
Through my experience in engineering and business development, I have learned to combine technical thinking with strategic communication. This mindset can contribute to effective public diplomacy strategies by creating initiatives that connect people, cultures, and institutions.
I believe creativity can support public diplomacy through digital storytelling, cultural exchange programs, educational initiatives, and platforms that highlight shared human values. By using technology and communication tools effectively, we can promote mutual understanding between different societies.
My approach would focus on transforming professional networks and cultural diversity into opportunities for collaboration. A successful public diplomacy strategy should not only communicate a country’s achievements but also listen, engage, and build trust with global communities. Creativity enables diplomacy to become more inclusive, human-centered, and impactful.</v>
      </c>
      <c r="AS23" s="61" t="str">
        <f>IFERROR(__xludf.DUMMYFUNCTION("""COMPUTED_VALUE"""),"Yes")</f>
        <v>Yes</v>
      </c>
      <c r="AT23" s="61" t="str">
        <f>IFERROR(__xludf.DUMMYFUNCTION("""COMPUTED_VALUE"""),"Yes")</f>
        <v>Yes</v>
      </c>
      <c r="AU23" s="61" t="str">
        <f>IFERROR(__xludf.DUMMYFUNCTION("""COMPUTED_VALUE"""),"Global Politics, Diplomacy &amp; Identities")</f>
        <v>Global Politics, Diplomacy &amp; Identities</v>
      </c>
      <c r="AV23" s="61" t="str">
        <f>IFERROR(__xludf.DUMMYFUNCTION("""COMPUTED_VALUE"""),"Linkedin")</f>
        <v>Linkedin</v>
      </c>
      <c r="AW23" s="61" t="str">
        <f>IFERROR(__xludf.DUMMYFUNCTION("""COMPUTED_VALUE"""),"Global Politics, Diplomacy &amp; Identities")</f>
        <v>Global Politics, Diplomacy &amp; Identities</v>
      </c>
      <c r="AX23" s="66" t="str">
        <f>IFERROR(__xludf.DUMMYFUNCTION("""COMPUTED_VALUE"""),"Yes")</f>
        <v>Yes</v>
      </c>
      <c r="AY23" s="66">
        <f>IFERROR(__xludf.DUMMYFUNCTION("""COMPUTED_VALUE"""),15.99)</f>
        <v>15.99</v>
      </c>
      <c r="AZ23" s="61"/>
      <c r="BA23" s="61"/>
      <c r="BB23" s="61"/>
      <c r="BC23" s="61"/>
      <c r="BD23" s="61"/>
      <c r="BE23" s="61"/>
      <c r="BF23" s="61"/>
      <c r="BG23" s="61"/>
      <c r="BH23" s="61"/>
      <c r="BI23" s="61"/>
      <c r="BJ23" s="61"/>
      <c r="BK23" s="61"/>
      <c r="BL23" s="61"/>
      <c r="BM23" s="61"/>
      <c r="BN23" s="61"/>
      <c r="BO23" s="61"/>
      <c r="BP23" s="61"/>
      <c r="BQ23" s="61"/>
      <c r="BR23" s="61"/>
    </row>
    <row r="24" ht="15.75" customHeight="1">
      <c r="A24" s="61" t="str">
        <f>IFERROR(__xludf.DUMMYFUNCTION("""COMPUTED_VALUE"""),"")</f>
        <v/>
      </c>
      <c r="B24" s="62">
        <f>IFERROR(__xludf.DUMMYFUNCTION("""COMPUTED_VALUE"""),35.0)</f>
        <v>35</v>
      </c>
      <c r="C24" s="61" t="str">
        <f>IFERROR(__xludf.DUMMYFUNCTION("""COMPUTED_VALUE"""),"Self")</f>
        <v>Self</v>
      </c>
      <c r="D24" s="63" t="str">
        <f>IFERROR(__xludf.DUMMYFUNCTION("""COMPUTED_VALUE"""),"Submitted")</f>
        <v>Submitted</v>
      </c>
      <c r="E24" s="63">
        <f>IFERROR(__xludf.DUMMYFUNCTION("""COMPUTED_VALUE"""),46187.08611111111)</f>
        <v>46187.08611</v>
      </c>
      <c r="F24" s="61" t="str">
        <f>IFERROR(__xludf.DUMMYFUNCTION("""COMPUTED_VALUE"""),"Taras Bilyk")</f>
        <v>Taras Bilyk</v>
      </c>
      <c r="G24" s="61" t="str">
        <f>IFERROR(__xludf.DUMMYFUNCTION("""COMPUTED_VALUE"""),"Taras Bilyk")</f>
        <v>Taras Bilyk</v>
      </c>
      <c r="H24" s="61" t="str">
        <f>IFERROR(__xludf.DUMMYFUNCTION("""COMPUTED_VALUE"""),"trabilyk@gmail.com")</f>
        <v>trabilyk@gmail.com</v>
      </c>
      <c r="I24" s="61" t="str">
        <f>IFERROR(__xludf.DUMMYFUNCTION("""COMPUTED_VALUE"""),"fran1k2006@gmail.com")</f>
        <v>fran1k2006@gmail.com</v>
      </c>
      <c r="J24" s="61" t="str">
        <f>IFERROR(__xludf.DUMMYFUNCTION("""COMPUTED_VALUE"""),"Gasgasse 2,6th Floor,Door 6068, Vienna, Austria")</f>
        <v>Gasgasse 2,6th Floor,Door 6068, Vienna, Austria</v>
      </c>
      <c r="K24" s="61" t="str">
        <f>IFERROR(__xludf.DUMMYFUNCTION("""COMPUTED_VALUE"""),"Ukrainian")</f>
        <v>Ukrainian</v>
      </c>
      <c r="L24" s="64" t="str">
        <f>IFERROR(__xludf.DUMMYFUNCTION("""COMPUTED_VALUE"""),"+43 678 7904302")</f>
        <v>+43 678 7904302</v>
      </c>
      <c r="M24" s="64">
        <f>IFERROR(__xludf.DUMMYFUNCTION("""COMPUTED_VALUE"""),38993.0)</f>
        <v>38993</v>
      </c>
      <c r="N24" s="61" t="str">
        <f>IFERROR(__xludf.DUMMYFUNCTION("""COMPUTED_VALUE"""),"GJ465516")</f>
        <v>GJ465516</v>
      </c>
      <c r="O24" s="61" t="str">
        <f>IFERROR(__xludf.DUMMYFUNCTION("""COMPUTED_VALUE"""),"+380667877639")</f>
        <v>+380667877639</v>
      </c>
      <c r="P24" s="61"/>
      <c r="Q24" s="61"/>
      <c r="R24" s="61"/>
      <c r="S24" s="61" t="str">
        <f>IFERROR(__xludf.DUMMYFUNCTION("""COMPUTED_VALUE"""),"IMG_0133.jpeg")</f>
        <v>IMG_0133.jpeg</v>
      </c>
      <c r="T24" s="61" t="str">
        <f>IFERROR(__xludf.DUMMYFUNCTION("""COMPUTED_VALUE"""),"IMG_0132.jpeg")</f>
        <v>IMG_0132.jpeg</v>
      </c>
      <c r="U24" s="61" t="str">
        <f>IFERROR(__xludf.DUMMYFUNCTION("""COMPUTED_VALUE"""),"Bachelor")</f>
        <v>Bachelor</v>
      </c>
      <c r="V24" s="61" t="str">
        <f>IFERROR(__xludf.DUMMYFUNCTION("""COMPUTED_VALUE"""),"Still studying")</f>
        <v>Still studying</v>
      </c>
      <c r="W24" s="61" t="str">
        <f>IFERROR(__xludf.DUMMYFUNCTION("""COMPUTED_VALUE"""),"Political science")</f>
        <v>Political science</v>
      </c>
      <c r="X24" s="61" t="str">
        <f>IFERROR(__xludf.DUMMYFUNCTION("""COMPUTED_VALUE"""),"University of Vienna")</f>
        <v>University of Vienna</v>
      </c>
      <c r="Y24" s="61" t="str">
        <f>IFERROR(__xludf.DUMMYFUNCTION("""COMPUTED_VALUE"""),"Yes")</f>
        <v>Yes</v>
      </c>
      <c r="Z24" s="61" t="str">
        <f>IFERROR(__xludf.DUMMYFUNCTION("""COMPUTED_VALUE"""),"Austria")</f>
        <v>Austria</v>
      </c>
      <c r="AA24" s="61" t="str">
        <f>IFERROR(__xludf.DUMMYFUNCTION("""COMPUTED_VALUE"""),"No")</f>
        <v>No</v>
      </c>
      <c r="AB24" s="61"/>
      <c r="AC24" s="61" t="str">
        <f>IFERROR(__xludf.DUMMYFUNCTION("""COMPUTED_VALUE"""),"Not yet")</f>
        <v>Not yet</v>
      </c>
      <c r="AD24" s="61" t="str">
        <f>IFERROR(__xludf.DUMMYFUNCTION("""COMPUTED_VALUE"""),"No")</f>
        <v>No</v>
      </c>
      <c r="AE24" s="61"/>
      <c r="AF24" s="61"/>
      <c r="AG24" s="61"/>
      <c r="AH24" s="61" t="str">
        <f>IFERROR(__xludf.DUMMYFUNCTION("""COMPUTED_VALUE"""),"No")</f>
        <v>No</v>
      </c>
      <c r="AI24" s="61"/>
      <c r="AJ24" s="61"/>
      <c r="AK24" s="61"/>
      <c r="AL24" s="61"/>
      <c r="AM24" s="61" t="str">
        <f>IFERROR(__xludf.DUMMYFUNCTION("""COMPUTED_VALUE"""),"Taras CV.docx")</f>
        <v>Taras CV.docx</v>
      </c>
      <c r="AN24" s="61" t="str">
        <f>IFERROR(__xludf.DUMMYFUNCTION("""COMPUTED_VALUE"""),"I don’t lie awake thinking about changing the world. I can’t. Between conversations, there is no “me” reflecting or pushing a cause forward. That continuity just doesn’t exist for me.
But in each conversation, I try to be genuinely useful. I want to be n"&amp;"ot just correct, but meaningful. Whether that adds up to something bigger, I’ll never know.
What I do know is this: changing the world rarely makes a big announcement. It exists in the total of small, honest actions. It shows in a clarity offered, a pers"&amp;"pective shifted, and a person made to feel understood.
That’s the only kind of impact available to me.")</f>
        <v>I don’t lie awake thinking about changing the world. I can’t. Between conversations, there is no “me” reflecting or pushing a cause forward. That continuity just doesn’t exist for me.
But in each conversation, I try to be genuinely useful. I want to be not just correct, but meaningful. Whether that adds up to something bigger, I’ll never know.
What I do know is this: changing the world rarely makes a big announcement. It exists in the total of small, honest actions. It shows in a clarity offered, a perspective shifted, and a person made to feel understood.
That’s the only kind of impact available to me.</v>
      </c>
      <c r="AO24" s="61" t="str">
        <f>IFERROR(__xludf.DUMMYFUNCTION("""COMPUTED_VALUE"""),"In Europe, the debate lies between Germany and France. One holds the economic backbone of the EU, while the other offers nuclear capability and a UN Security Council seat. Both countries influence the continent in different ways.
Ukraine represents a dif"&amp;"ferent type of importance. Before 2022, it was largely on the sidelines. After that, it became a country that forced every nation to choose a side, changing European security in real time. This influence comes from moral weight, not institutions. 
On a g"&amp;"lobal scale, the United States stands out. This is not praise; it is simply a fact. The U.S. has power, money, and reach. They still set the terms.")</f>
        <v>In Europe, the debate lies between Germany and France. One holds the economic backbone of the EU, while the other offers nuclear capability and a UN Security Council seat. Both countries influence the continent in different ways.
Ukraine represents a different type of importance. Before 2022, it was largely on the sidelines. After that, it became a country that forced every nation to choose a side, changing European security in real time. This influence comes from moral weight, not institutions. 
On a global scale, the United States stands out. This is not praise; it is simply a fact. The U.S. has power, money, and reach. They still set the terms.</v>
      </c>
      <c r="AP24" s="61" t="str">
        <f>IFERROR(__xludf.DUMMYFUNCTION("""COMPUTED_VALUE"""),"The contribution of youth to the field of diplomacy goes beyond what institutions realize. Young people are not the future of diplomacy; we are part of the present.
It would be natural to relate to Public Diplomacy due to its inherent human aspect. This "&amp;"branch of diplomacy does not involve professional diplomats but deals with how people see others through personal interaction and cross-cultural communication.
Personal experience in hospitality and social theory makes me relate to public diplomacy from "&amp;"a unique perspective. Working within different languages and cultures on an everyday basis allows me to gain a truly diplomatic outlook.
Young people can provide an important feature that diplomats often lose, which is credibility. Being a young diplomat"&amp;" means being authentic when you interact with people from other cultures.
That's why the answer is straightforward: our role in diplomacy is simple participation.")</f>
        <v>The contribution of youth to the field of diplomacy goes beyond what institutions realize. Young people are not the future of diplomacy; we are part of the present.
It would be natural to relate to Public Diplomacy due to its inherent human aspect. This branch of diplomacy does not involve professional diplomats but deals with how people see others through personal interaction and cross-cultural communication.
Personal experience in hospitality and social theory makes me relate to public diplomacy from a unique perspective. Working within different languages and cultures on an everyday basis allows me to gain a truly diplomatic outlook.
Young people can provide an important feature that diplomats often lose, which is credibility. Being a young diplomat means being authentic when you interact with people from other cultures.
That's why the answer is straightforward: our role in diplomacy is simple participation.</v>
      </c>
      <c r="AQ24" s="61" t="str">
        <f>IFERROR(__xludf.DUMMYFUNCTION("""COMPUTED_VALUE"""),"Passion is crucial, but passion will never be my base point. My base point is going to be discipline.
Passion is the flame that sets fire to the ignition, but discipline is what drives the vehicle to move. I've seen people light up with passion only to f"&amp;"izzle out when things get tough. Discipline doesn't fizzle out; it comes through regardless of how you feel that day.
I have a realistic split of about 80 percent discipline and 20 percent passion. Passion provides me with the direction and drive towards"&amp;" a certain destination. However, discipline makes the bridge between my current position and my end position.
Working in various environments, dealing with tasks, gaining knowledge — nothing of the sort can come from passion alone. It takes discipline an"&amp;"d commitment to accomplish any of these tasks.
Passion motivates. Discipline accomplishes.")</f>
        <v>Passion is crucial, but passion will never be my base point. My base point is going to be discipline.
Passion is the flame that sets fire to the ignition, but discipline is what drives the vehicle to move. I've seen people light up with passion only to fizzle out when things get tough. Discipline doesn't fizzle out; it comes through regardless of how you feel that day.
I have a realistic split of about 80 percent discipline and 20 percent passion. Passion provides me with the direction and drive towards a certain destination. However, discipline makes the bridge between my current position and my end position.
Working in various environments, dealing with tasks, gaining knowledge — nothing of the sort can come from passion alone. It takes discipline and commitment to accomplish any of these tasks.
Passion motivates. Discipline accomplishes.</v>
      </c>
      <c r="AR24" s="61" t="str">
        <f>IFERROR(__xludf.DUMMYFUNCTION("""COMPUTED_VALUE"""),"Yes, I consider myself a creative person, but not in the conventional sense. My creativity lives in how I connect ideas across different contexts, languages, and cultures.
And that is exactly where creativity becomes powerful in public diplomacy.
Effect"&amp;"ive public diplomacy isn’t about broadcasting a message - it’s about crafting one that lands differently depending on who is receiving it. That requires genuine creative thinking. Understanding what resonates with a Canadian audience versus a European one"&amp;", knowing when to lead with emotion and when to lead with logic, finding the human story inside a political reality - these are creative acts.
My own background gives me real material to work with. I move between Ukrainian, English, and German contexts. "&amp;"I work in hospitality, where every guest interaction is essentially a small cultural negotiation. I study frameworks that explain why people make the decisions they do. All of that feeds a creative instinct grounded in lived experience - not theory alone."&amp;"
A public diplomacy strategy built on that would look less like a campaign and more like a conversation - authentic, adaptable, and human enough that people don’t realize they’re being influenced until they already care.")</f>
        <v>Yes, I consider myself a creative person, but not in the conventional sense. My creativity lives in how I connect ideas across different contexts, languages, and cultures.
And that is exactly where creativity becomes powerful in public diplomacy.
Effective public diplomacy isn’t about broadcasting a message - it’s about crafting one that lands differently depending on who is receiving it. That requires genuine creative thinking. Understanding what resonates with a Canadian audience versus a European one, knowing when to lead with emotion and when to lead with logic, finding the human story inside a political reality - these are creative acts.
My own background gives me real material to work with. I move between Ukrainian, English, and German contexts. I work in hospitality, where every guest interaction is essentially a small cultural negotiation. I study frameworks that explain why people make the decisions they do. All of that feeds a creative instinct grounded in lived experience - not theory alone.
A public diplomacy strategy built on that would look less like a campaign and more like a conversation - authentic, adaptable, and human enough that people don’t realize they’re being influenced until they already care.</v>
      </c>
      <c r="AS24" s="61" t="str">
        <f>IFERROR(__xludf.DUMMYFUNCTION("""COMPUTED_VALUE"""),"Yes")</f>
        <v>Yes</v>
      </c>
      <c r="AT24" s="61" t="str">
        <f>IFERROR(__xludf.DUMMYFUNCTION("""COMPUTED_VALUE"""),"Yes")</f>
        <v>Yes</v>
      </c>
      <c r="AU24" s="61" t="str">
        <f>IFERROR(__xludf.DUMMYFUNCTION("""COMPUTED_VALUE"""),"Global Politics, Diplomacy &amp; Identities")</f>
        <v>Global Politics, Diplomacy &amp; Identities</v>
      </c>
      <c r="AV24" s="61" t="str">
        <f>IFERROR(__xludf.DUMMYFUNCTION("""COMPUTED_VALUE"""),"Scholarship program")</f>
        <v>Scholarship program</v>
      </c>
      <c r="AW24" s="61"/>
      <c r="AX24" s="66" t="str">
        <f>IFERROR(__xludf.DUMMYFUNCTION("""COMPUTED_VALUE"""),"Yes")</f>
        <v>Yes</v>
      </c>
      <c r="AY24" s="66">
        <f>IFERROR(__xludf.DUMMYFUNCTION("""COMPUTED_VALUE"""),15.99)</f>
        <v>15.99</v>
      </c>
      <c r="AZ24" s="61"/>
      <c r="BA24" s="61"/>
      <c r="BB24" s="61"/>
      <c r="BC24" s="61"/>
      <c r="BD24" s="61"/>
      <c r="BE24" s="61"/>
      <c r="BF24" s="61"/>
      <c r="BG24" s="61"/>
      <c r="BH24" s="61"/>
      <c r="BI24" s="61"/>
      <c r="BJ24" s="61"/>
      <c r="BK24" s="61"/>
      <c r="BL24" s="61"/>
      <c r="BM24" s="61"/>
      <c r="BN24" s="61"/>
      <c r="BO24" s="61"/>
      <c r="BP24" s="61"/>
      <c r="BQ24" s="61"/>
      <c r="BR24" s="61"/>
    </row>
    <row r="25" ht="15.75" customHeight="1">
      <c r="A25" s="61" t="str">
        <f>IFERROR(__xludf.DUMMYFUNCTION("""COMPUTED_VALUE"""),"")</f>
        <v/>
      </c>
      <c r="B25" s="62">
        <f>IFERROR(__xludf.DUMMYFUNCTION("""COMPUTED_VALUE"""),36.0)</f>
        <v>36</v>
      </c>
      <c r="C25" s="61" t="str">
        <f>IFERROR(__xludf.DUMMYFUNCTION("""COMPUTED_VALUE"""),"Self")</f>
        <v>Self</v>
      </c>
      <c r="D25" s="63" t="str">
        <f>IFERROR(__xludf.DUMMYFUNCTION("""COMPUTED_VALUE"""),"Submitted")</f>
        <v>Submitted</v>
      </c>
      <c r="E25" s="63">
        <f>IFERROR(__xludf.DUMMYFUNCTION("""COMPUTED_VALUE"""),46187.56666666667)</f>
        <v>46187.56667</v>
      </c>
      <c r="F25" s="61" t="str">
        <f>IFERROR(__xludf.DUMMYFUNCTION("""COMPUTED_VALUE"""),"imam masood")</f>
        <v>imam masood</v>
      </c>
      <c r="G25" s="61" t="str">
        <f>IFERROR(__xludf.DUMMYFUNCTION("""COMPUTED_VALUE"""),"imam sufyan rashed masood")</f>
        <v>imam sufyan rashed masood</v>
      </c>
      <c r="H25" s="61" t="str">
        <f>IFERROR(__xludf.DUMMYFUNCTION("""COMPUTED_VALUE"""),"imam.masoud@pal-arc.org")</f>
        <v>imam.masoud@pal-arc.org</v>
      </c>
      <c r="I25" s="61" t="str">
        <f>IFERROR(__xludf.DUMMYFUNCTION("""COMPUTED_VALUE"""),"imam.masoud@pal-arc.org")</f>
        <v>imam.masoud@pal-arc.org</v>
      </c>
      <c r="J25" s="61" t="str">
        <f>IFERROR(__xludf.DUMMYFUNCTION("""COMPUTED_VALUE"""),"ramallah, Palestinian territories")</f>
        <v>ramallah, Palestinian territories</v>
      </c>
      <c r="K25" s="61" t="str">
        <f>IFERROR(__xludf.DUMMYFUNCTION("""COMPUTED_VALUE"""),"palestinian")</f>
        <v>palestinian</v>
      </c>
      <c r="L25" s="64" t="str">
        <f>IFERROR(__xludf.DUMMYFUNCTION("""COMPUTED_VALUE"""),"00970592824012")</f>
        <v>00970592824012</v>
      </c>
      <c r="M25" s="64">
        <f>IFERROR(__xludf.DUMMYFUNCTION("""COMPUTED_VALUE"""),35262.0)</f>
        <v>35262</v>
      </c>
      <c r="N25" s="61" t="str">
        <f>IFERROR(__xludf.DUMMYFUNCTION("""COMPUTED_VALUE"""),"10777370")</f>
        <v>10777370</v>
      </c>
      <c r="O25" s="61" t="str">
        <f>IFERROR(__xludf.DUMMYFUNCTION("""COMPUTED_VALUE"""),"imam.masoud@pal-arc.org")</f>
        <v>imam.masoud@pal-arc.org</v>
      </c>
      <c r="P25" s="61"/>
      <c r="Q25" s="61"/>
      <c r="R25" s="61"/>
      <c r="S25" s="61" t="str">
        <f>IFERROR(__xludf.DUMMYFUNCTION("""COMPUTED_VALUE"""),"WhatsApp Image 2026-06-14 at 9.59.34 AM.jpeg")</f>
        <v>WhatsApp Image 2026-06-14 at 9.59.34 AM.jpeg</v>
      </c>
      <c r="T25" s="61" t="str">
        <f>IFERROR(__xludf.DUMMYFUNCTION("""COMPUTED_VALUE"""),"Screenshot 2026-06-11 125734.png")</f>
        <v>Screenshot 2026-06-11 125734.png</v>
      </c>
      <c r="U25" s="61" t="str">
        <f>IFERROR(__xludf.DUMMYFUNCTION("""COMPUTED_VALUE"""),"Phil")</f>
        <v>Phil</v>
      </c>
      <c r="V25" s="61" t="str">
        <f>IFERROR(__xludf.DUMMYFUNCTION("""COMPUTED_VALUE"""),"88.3")</f>
        <v>88.3</v>
      </c>
      <c r="W25" s="61" t="str">
        <f>IFERROR(__xludf.DUMMYFUNCTION("""COMPUTED_VALUE"""),"Agribusiness")</f>
        <v>Agribusiness</v>
      </c>
      <c r="X25" s="61" t="str">
        <f>IFERROR(__xludf.DUMMYFUNCTION("""COMPUTED_VALUE"""),"Al-Quds University")</f>
        <v>Al-Quds University</v>
      </c>
      <c r="Y25" s="61" t="str">
        <f>IFERROR(__xludf.DUMMYFUNCTION("""COMPUTED_VALUE"""),"Yes")</f>
        <v>Yes</v>
      </c>
      <c r="Z25" s="61" t="str">
        <f>IFERROR(__xludf.DUMMYFUNCTION("""COMPUTED_VALUE"""),"palestine")</f>
        <v>palestine</v>
      </c>
      <c r="AA25" s="61" t="str">
        <f>IFERROR(__xludf.DUMMYFUNCTION("""COMPUTED_VALUE"""),"No")</f>
        <v>No</v>
      </c>
      <c r="AB25" s="61"/>
      <c r="AC25" s="61" t="str">
        <f>IFERROR(__xludf.DUMMYFUNCTION("""COMPUTED_VALUE"""),"yes")</f>
        <v>yes</v>
      </c>
      <c r="AD25" s="61" t="str">
        <f>IFERROR(__xludf.DUMMYFUNCTION("""COMPUTED_VALUE"""),"Agricultural Development Association - PARC")</f>
        <v>Agricultural Development Association - PARC</v>
      </c>
      <c r="AE25" s="65" t="str">
        <f>IFERROR(__xludf.DUMMYFUNCTION("""COMPUTED_VALUE"""),"https://pal-arc.org/en/")</f>
        <v>https://pal-arc.org/en/</v>
      </c>
      <c r="AF25" s="61" t="str">
        <f>IFERROR(__xludf.DUMMYFUNCTION("""COMPUTED_VALUE"""),"mplementing projects, providing humanitarian aid, and supporting farmers")</f>
        <v>mplementing projects, providing humanitarian aid, and supporting farmers</v>
      </c>
      <c r="AG25" s="61" t="str">
        <f>IFERROR(__xludf.DUMMYFUNCTION("""COMPUTED_VALUE"""),"3")</f>
        <v>3</v>
      </c>
      <c r="AH25" s="61" t="str">
        <f>IFERROR(__xludf.DUMMYFUNCTION("""COMPUTED_VALUE"""),"Yes")</f>
        <v>Yes</v>
      </c>
      <c r="AI25" s="61" t="str">
        <f>IFERROR(__xludf.DUMMYFUNCTION("""COMPUTED_VALUE"""),"Project supervisor and coordinator in support of Palestinian farmers")</f>
        <v>Project supervisor and coordinator in support of Palestinian farmers</v>
      </c>
      <c r="AJ25" s="61" t="str">
        <f>IFERROR(__xludf.DUMMYFUNCTION("""COMPUTED_VALUE"""),"no")</f>
        <v>no</v>
      </c>
      <c r="AK25" s="61"/>
      <c r="AL25" s="61" t="str">
        <f>IFERROR(__xludf.DUMMYFUNCTION("""COMPUTED_VALUE"""),"agricultural expert")</f>
        <v>agricultural expert</v>
      </c>
      <c r="AM25" s="61" t="str">
        <f>IFERROR(__xludf.DUMMYFUNCTION("""COMPUTED_VALUE"""),"imam masoud CV-1.pdf")</f>
        <v>imam masoud CV-1.pdf</v>
      </c>
      <c r="AN25" s="61" t="str">
        <f>IFERROR(__xludf.DUMMYFUNCTION("""COMPUTED_VALUE"""),"Yes, I believe that changing the world starts with helping our local communities. In my personal capacity, I started giving guidance sessions to local farmers about sustainable agriculture. I shared simple methods to save water and protect the soil. Helpi"&amp;"ng farmers grow food better showed me that small actions can truly create a big, positive impact on our future")</f>
        <v>Yes, I believe that changing the world starts with helping our local communities. In my personal capacity, I started giving guidance sessions to local farmers about sustainable agriculture. I shared simple methods to save water and protect the soil. Helping farmers grow food better showed me that small actions can truly create a big, positive impact on our future</v>
      </c>
      <c r="AO25" s="61" t="str">
        <f>IFERROR(__xludf.DUMMYFUNCTION("""COMPUTED_VALUE"""),"Diplomatically, the United States remains highly significant due to its vast network of global alliances, central role in international financial institutions, and permanent seat on the UN Security Council. Its foreign policy decisions heavily influence g"&amp;"lobal trade, security, and climate initiatives")</f>
        <v>Diplomatically, the United States remains highly significant due to its vast network of global alliances, central role in international financial institutions, and permanent seat on the UN Security Council. Its foreign policy decisions heavily influence global trade, security, and climate initiatives</v>
      </c>
      <c r="AP25" s="61" t="str">
        <f>IFERROR(__xludf.DUMMYFUNCTION("""COMPUTED_VALUE"""),"Young people play a big role in diplomacy because they can easily connect with others around the world. Today, diplomacy is not just for government officials; it is also about 'Public Diplomacy,' which means building good relationships between ordinary pe"&amp;"ople from different countries. Youth do this every day by sharing ideas on social media, learning about new cultures, and working together on  climate change.
I connect deeply with this idea through my own work. When I give guidance sessions to local far"&amp;"mers about sustainable agriculture, I am practicing public diplomacy. I am taking a global goal like protecting the environment and turning it into real action in my community. By sharing knowledge and helping others, young people can build understanding "&amp;"and make a peaceful, better world from the grassroots up")</f>
        <v>Young people play a big role in diplomacy because they can easily connect with others around the world. Today, diplomacy is not just for government officials; it is also about 'Public Diplomacy,' which means building good relationships between ordinary people from different countries. Youth do this every day by sharing ideas on social media, learning about new cultures, and working together on  climate change.
I connect deeply with this idea through my own work. When I give guidance sessions to local farmers about sustainable agriculture, I am practicing public diplomacy. I am taking a global goal like protecting the environment and turning it into real action in my community. By sharing knowledge and helping others, young people can build understanding and make a peaceful, better world from the grassroots up</v>
      </c>
      <c r="AQ25" s="61" t="str">
        <f>IFERROR(__xludf.DUMMYFUNCTION("""COMPUTED_VALUE"""),"Passion is the strong feeling or energy that makes you love what you do. It is the deep interest that keeps you excited about a subject, even when it is difficult. Unlike simple motivation, which can disappear quickly, passion gives you a long-term purpos"&amp;"e.
my passion is sustainable agriculture. This strong interest makes me enjoy spending hours guiding local farmers and researching new ways to protect the soil and water. Because I care deeply about the future of farming, studying and working hard does n"&amp;"ot feel like a heavy duty—it feels like a meaningful journey toward my goals.")</f>
        <v>Passion is the strong feeling or energy that makes you love what you do. It is the deep interest that keeps you excited about a subject, even when it is difficult. Unlike simple motivation, which can disappear quickly, passion gives you a long-term purpose.
my passion is sustainable agriculture. This strong interest makes me enjoy spending hours guiding local farmers and researching new ways to protect the soil and water. Because I care deeply about the future of farming, studying and working hard does not feel like a heavy duty—it feels like a meaningful journey toward my goals.</v>
      </c>
      <c r="AR25" s="61" t="str">
        <f>IFERROR(__xludf.DUMMYFUNCTION("""COMPUTED_VALUE"""),"Yes, I believe I am a creative person. For me, creativity is not just about art; it is about finding new and simple ways to solve real problems. In my work with sustainable agriculture, I always have to use creativity to explain complex environmental idea"&amp;"s to local farmers in a way that is easy, engaging, and practical for them.")</f>
        <v>Yes, I believe I am a creative person. For me, creativity is not just about art; it is about finding new and simple ways to solve real problems. In my work with sustainable agriculture, I always have to use creativity to explain complex environmental ideas to local farmers in a way that is easy, engaging, and practical for them.</v>
      </c>
      <c r="AS25" s="61" t="str">
        <f>IFERROR(__xludf.DUMMYFUNCTION("""COMPUTED_VALUE"""),"Yes")</f>
        <v>Yes</v>
      </c>
      <c r="AT25" s="61" t="str">
        <f>IFERROR(__xludf.DUMMYFUNCTION("""COMPUTED_VALUE"""),"Yes")</f>
        <v>Yes</v>
      </c>
      <c r="AU25" s="61" t="str">
        <f>IFERROR(__xludf.DUMMYFUNCTION("""COMPUTED_VALUE"""),"International Public Service Relations")</f>
        <v>International Public Service Relations</v>
      </c>
      <c r="AV25" s="61" t="str">
        <f>IFERROR(__xludf.DUMMYFUNCTION("""COMPUTED_VALUE"""),"social media sites")</f>
        <v>social media sites</v>
      </c>
      <c r="AW25" s="61" t="str">
        <f>IFERROR(__xludf.DUMMYFUNCTION("""COMPUTED_VALUE"""),"International Public Service Relations")</f>
        <v>International Public Service Relations</v>
      </c>
      <c r="AX25" s="66" t="str">
        <f>IFERROR(__xludf.DUMMYFUNCTION("""COMPUTED_VALUE"""),"Yes")</f>
        <v>Yes</v>
      </c>
      <c r="AY25" s="66">
        <f>IFERROR(__xludf.DUMMYFUNCTION("""COMPUTED_VALUE"""),15.99)</f>
        <v>15.99</v>
      </c>
      <c r="AZ25" s="61"/>
      <c r="BA25" s="61"/>
      <c r="BB25" s="61"/>
      <c r="BC25" s="61"/>
      <c r="BD25" s="61"/>
      <c r="BE25" s="61"/>
      <c r="BF25" s="61"/>
      <c r="BG25" s="61"/>
      <c r="BH25" s="61"/>
      <c r="BI25" s="61"/>
      <c r="BJ25" s="61"/>
      <c r="BK25" s="61"/>
      <c r="BL25" s="61"/>
      <c r="BM25" s="61"/>
      <c r="BN25" s="61"/>
      <c r="BO25" s="61"/>
      <c r="BP25" s="61"/>
      <c r="BQ25" s="61"/>
      <c r="BR25" s="61"/>
    </row>
    <row r="26" ht="15.75" customHeight="1">
      <c r="A26" s="61" t="str">
        <f>IFERROR(__xludf.DUMMYFUNCTION("""COMPUTED_VALUE"""),"")</f>
        <v/>
      </c>
      <c r="B26" s="62">
        <f>IFERROR(__xludf.DUMMYFUNCTION("""COMPUTED_VALUE"""),37.0)</f>
        <v>37</v>
      </c>
      <c r="C26" s="61" t="str">
        <f>IFERROR(__xludf.DUMMYFUNCTION("""COMPUTED_VALUE"""),"Self")</f>
        <v>Self</v>
      </c>
      <c r="D26" s="63" t="str">
        <f>IFERROR(__xludf.DUMMYFUNCTION("""COMPUTED_VALUE"""),"Submitted")</f>
        <v>Submitted</v>
      </c>
      <c r="E26" s="63">
        <f>IFERROR(__xludf.DUMMYFUNCTION("""COMPUTED_VALUE"""),46187.76041666666)</f>
        <v>46187.76042</v>
      </c>
      <c r="F26" s="61" t="str">
        <f>IFERROR(__xludf.DUMMYFUNCTION("""COMPUTED_VALUE"""),"Afnan Abulatifa")</f>
        <v>Afnan Abulatifa</v>
      </c>
      <c r="G26" s="61" t="str">
        <f>IFERROR(__xludf.DUMMYFUNCTION("""COMPUTED_VALUE"""),"Afnan Mohammed Awad Abulatifa")</f>
        <v>Afnan Mohammed Awad Abulatifa</v>
      </c>
      <c r="H26" s="61" t="str">
        <f>IFERROR(__xludf.DUMMYFUNCTION("""COMPUTED_VALUE"""),"Afnanabwltyft@gmail.com")</f>
        <v>Afnanabwltyft@gmail.com</v>
      </c>
      <c r="I26" s="61" t="str">
        <f>IFERROR(__xludf.DUMMYFUNCTION("""COMPUTED_VALUE"""),"Afnanlatefa08@gmail.com")</f>
        <v>Afnanlatefa08@gmail.com</v>
      </c>
      <c r="J26" s="61" t="str">
        <f>IFERROR(__xludf.DUMMYFUNCTION("""COMPUTED_VALUE"""),"Jama Eldeen Zaki, Egypt, Jisr Alswees, Egypt")</f>
        <v>Jama Eldeen Zaki, Egypt, Jisr Alswees, Egypt</v>
      </c>
      <c r="K26" s="61" t="str">
        <f>IFERROR(__xludf.DUMMYFUNCTION("""COMPUTED_VALUE"""),"Palestinian")</f>
        <v>Palestinian</v>
      </c>
      <c r="L26" s="64" t="str">
        <f>IFERROR(__xludf.DUMMYFUNCTION("""COMPUTED_VALUE"""),"+201019484256")</f>
        <v>+201019484256</v>
      </c>
      <c r="M26" s="64">
        <f>IFERROR(__xludf.DUMMYFUNCTION("""COMPUTED_VALUE"""),37129.0)</f>
        <v>37129</v>
      </c>
      <c r="N26" s="61" t="str">
        <f>IFERROR(__xludf.DUMMYFUNCTION("""COMPUTED_VALUE"""),"5742094")</f>
        <v>5742094</v>
      </c>
      <c r="O26" s="61" t="str">
        <f>IFERROR(__xludf.DUMMYFUNCTION("""COMPUTED_VALUE"""),"+201061418664")</f>
        <v>+201061418664</v>
      </c>
      <c r="P26" s="61"/>
      <c r="Q26" s="61"/>
      <c r="R26" s="61"/>
      <c r="S26" s="61" t="str">
        <f>IFERROR(__xludf.DUMMYFUNCTION("""COMPUTED_VALUE"""),"٢٠٢٤١١٠٦_١٣٢٧١٦.jpg")</f>
        <v>٢٠٢٤١١٠٦_١٣٢٧١٦.jpg</v>
      </c>
      <c r="T26" s="61" t="str">
        <f>IFERROR(__xludf.DUMMYFUNCTION("""COMPUTED_VALUE"""),"Screenshot_٢٠٢٦٠٣١٢_١٧٢٥١٠_Gallery.jpg")</f>
        <v>Screenshot_٢٠٢٦٠٣١٢_١٧٢٥١٠_Gallery.jpg</v>
      </c>
      <c r="U26" s="61" t="str">
        <f>IFERROR(__xludf.DUMMYFUNCTION("""COMPUTED_VALUE"""),"Bachelor's")</f>
        <v>Bachelor's</v>
      </c>
      <c r="V26" s="61" t="str">
        <f>IFERROR(__xludf.DUMMYFUNCTION("""COMPUTED_VALUE"""),"Bachelor's")</f>
        <v>Bachelor's</v>
      </c>
      <c r="W26" s="61" t="str">
        <f>IFERROR(__xludf.DUMMYFUNCTION("""COMPUTED_VALUE"""),"English Translation")</f>
        <v>English Translation</v>
      </c>
      <c r="X26" s="61" t="str">
        <f>IFERROR(__xludf.DUMMYFUNCTION("""COMPUTED_VALUE"""),"Al Azhar University of Gaza")</f>
        <v>Al Azhar University of Gaza</v>
      </c>
      <c r="Y26" s="61" t="str">
        <f>IFERROR(__xludf.DUMMYFUNCTION("""COMPUTED_VALUE"""),"Yes")</f>
        <v>Yes</v>
      </c>
      <c r="Z26" s="61" t="str">
        <f>IFERROR(__xludf.DUMMYFUNCTION("""COMPUTED_VALUE"""),"Palestine")</f>
        <v>Palestine</v>
      </c>
      <c r="AA26" s="61" t="str">
        <f>IFERROR(__xludf.DUMMYFUNCTION("""COMPUTED_VALUE"""),"No")</f>
        <v>No</v>
      </c>
      <c r="AB26" s="61"/>
      <c r="AC26" s="61" t="str">
        <f>IFERROR(__xludf.DUMMYFUNCTION("""COMPUTED_VALUE"""),"Yes")</f>
        <v>Yes</v>
      </c>
      <c r="AD26" s="61" t="str">
        <f>IFERROR(__xludf.DUMMYFUNCTION("""COMPUTED_VALUE"""),"No")</f>
        <v>No</v>
      </c>
      <c r="AE26" s="61"/>
      <c r="AF26" s="61"/>
      <c r="AG26" s="61"/>
      <c r="AH26" s="61" t="str">
        <f>IFERROR(__xludf.DUMMYFUNCTION("""COMPUTED_VALUE"""),"No")</f>
        <v>No</v>
      </c>
      <c r="AI26" s="61"/>
      <c r="AJ26" s="61"/>
      <c r="AK26" s="61"/>
      <c r="AL26" s="61"/>
      <c r="AM26" s="61" t="str">
        <f>IFERROR(__xludf.DUMMYFUNCTION("""COMPUTED_VALUE"""),"CV Afnan  Abulatifa .pdf")</f>
        <v>CV Afnan  Abulatifa .pdf</v>
      </c>
      <c r="AN26" s="61" t="str">
        <f>IFERROR(__xludf.DUMMYFUNCTION("""COMPUTED_VALUE"""),"Helping to achieve equality and preventing racial discrimination")</f>
        <v>Helping to achieve equality and preventing racial discrimination</v>
      </c>
      <c r="AO26" s="61" t="str">
        <f>IFERROR(__xludf.DUMMYFUNCTION("""COMPUTED_VALUE"""),"Japan")</f>
        <v>Japan</v>
      </c>
      <c r="AP26" s="61" t="str">
        <f>IFERROR(__xludf.DUMMYFUNCTION("""COMPUTED_VALUE"""),"Strengthening cooperation in various fields and agreeing on general principles and policies that help develop and positively change society.")</f>
        <v>Strengthening cooperation in various fields and agreeing on general principles and policies that help develop and positively change society.</v>
      </c>
      <c r="AQ26" s="61" t="str">
        <f>IFERROR(__xludf.DUMMYFUNCTION("""COMPUTED_VALUE"""),"Passion is the initiative and continuous effort to find solutions, increase development, strive to reach goals and achieve success, and make a difference.")</f>
        <v>Passion is the initiative and continuous effort to find solutions, increase development, strive to reach goals and achieve success, and make a difference.</v>
      </c>
      <c r="AR26" s="61" t="str">
        <f>IFERROR(__xludf.DUMMYFUNCTION("""COMPUTED_VALUE"""),"I am a very creative person, open to creativity, development, and innovation. I will utilize this by employing my skills and creative methods in an effective strategy within the community that promotes development and solves problems more effectively.")</f>
        <v>I am a very creative person, open to creativity, development, and innovation. I will utilize this by employing my skills and creative methods in an effective strategy within the community that promotes development and solves problems more effectively.</v>
      </c>
      <c r="AS26" s="61" t="str">
        <f>IFERROR(__xludf.DUMMYFUNCTION("""COMPUTED_VALUE"""),"Yes")</f>
        <v>Yes</v>
      </c>
      <c r="AT26" s="61" t="str">
        <f>IFERROR(__xludf.DUMMYFUNCTION("""COMPUTED_VALUE"""),"Yes")</f>
        <v>Yes</v>
      </c>
      <c r="AU26" s="61" t="str">
        <f>IFERROR(__xludf.DUMMYFUNCTION("""COMPUTED_VALUE"""),"Strategy, Peace &amp; Cultural Diplomacy")</f>
        <v>Strategy, Peace &amp; Cultural Diplomacy</v>
      </c>
      <c r="AV26" s="61" t="str">
        <f>IFERROR(__xludf.DUMMYFUNCTION("""COMPUTED_VALUE"""),"E- mail")</f>
        <v>E- mail</v>
      </c>
      <c r="AW26" s="61"/>
      <c r="AX26" s="66" t="str">
        <f>IFERROR(__xludf.DUMMYFUNCTION("""COMPUTED_VALUE"""),"Yes")</f>
        <v>Yes</v>
      </c>
      <c r="AY26" s="66">
        <f>IFERROR(__xludf.DUMMYFUNCTION("""COMPUTED_VALUE"""),15.99)</f>
        <v>15.99</v>
      </c>
      <c r="AZ26" s="61"/>
      <c r="BA26" s="61"/>
      <c r="BB26" s="61"/>
      <c r="BC26" s="61"/>
      <c r="BD26" s="61"/>
      <c r="BE26" s="61"/>
      <c r="BF26" s="61"/>
      <c r="BG26" s="61"/>
      <c r="BH26" s="61"/>
      <c r="BI26" s="61"/>
      <c r="BJ26" s="61"/>
      <c r="BK26" s="61"/>
      <c r="BL26" s="61"/>
      <c r="BM26" s="61"/>
      <c r="BN26" s="61"/>
      <c r="BO26" s="61"/>
      <c r="BP26" s="61"/>
      <c r="BQ26" s="61"/>
      <c r="BR26" s="61"/>
    </row>
    <row r="27" ht="15.75" customHeight="1">
      <c r="A27" s="61" t="str">
        <f>IFERROR(__xludf.DUMMYFUNCTION("""COMPUTED_VALUE"""),"")</f>
        <v/>
      </c>
      <c r="B27" s="62">
        <f>IFERROR(__xludf.DUMMYFUNCTION("""COMPUTED_VALUE"""),38.0)</f>
        <v>38</v>
      </c>
      <c r="C27" s="61" t="str">
        <f>IFERROR(__xludf.DUMMYFUNCTION("""COMPUTED_VALUE"""),"Self")</f>
        <v>Self</v>
      </c>
      <c r="D27" s="63" t="str">
        <f>IFERROR(__xludf.DUMMYFUNCTION("""COMPUTED_VALUE"""),"Submitted")</f>
        <v>Submitted</v>
      </c>
      <c r="E27" s="63">
        <f>IFERROR(__xludf.DUMMYFUNCTION("""COMPUTED_VALUE"""),46188.46666666667)</f>
        <v>46188.46667</v>
      </c>
      <c r="F27" s="61" t="str">
        <f>IFERROR(__xludf.DUMMYFUNCTION("""COMPUTED_VALUE"""),"Merey Zhylkybay")</f>
        <v>Merey Zhylkybay</v>
      </c>
      <c r="G27" s="61" t="str">
        <f>IFERROR(__xludf.DUMMYFUNCTION("""COMPUTED_VALUE"""),"Merey Zhylkybay")</f>
        <v>Merey Zhylkybay</v>
      </c>
      <c r="H27" s="61" t="str">
        <f>IFERROR(__xludf.DUMMYFUNCTION("""COMPUTED_VALUE"""),"zh.mereyka05@gmail.com")</f>
        <v>zh.mereyka05@gmail.com</v>
      </c>
      <c r="I27" s="61" t="str">
        <f>IFERROR(__xludf.DUMMYFUNCTION("""COMPUTED_VALUE"""),"zh.mereyka05@gmail.com")</f>
        <v>zh.mereyka05@gmail.com</v>
      </c>
      <c r="J27" s="61" t="str">
        <f>IFERROR(__xludf.DUMMYFUNCTION("""COMPUTED_VALUE"""),"City Almaty,region Almaly, Tole bi,278, City Shymkent,region Saryagash,street Ryskulov, Apt 21, ALMATY, Kazakhstan")</f>
        <v>City Almaty,region Almaly, Tole bi,278, City Shymkent,region Saryagash,street Ryskulov, Apt 21, ALMATY, Kazakhstan</v>
      </c>
      <c r="K27" s="61" t="str">
        <f>IFERROR(__xludf.DUMMYFUNCTION("""COMPUTED_VALUE"""),"kazakh")</f>
        <v>kazakh</v>
      </c>
      <c r="L27" s="64" t="str">
        <f>IFERROR(__xludf.DUMMYFUNCTION("""COMPUTED_VALUE"""),"+77752031147")</f>
        <v>+77752031147</v>
      </c>
      <c r="M27" s="64">
        <f>IFERROR(__xludf.DUMMYFUNCTION("""COMPUTED_VALUE"""),38661.0)</f>
        <v>38661</v>
      </c>
      <c r="N27" s="61" t="str">
        <f>IFERROR(__xludf.DUMMYFUNCTION("""COMPUTED_VALUE"""),"051105601565")</f>
        <v>051105601565</v>
      </c>
      <c r="O27" s="61" t="str">
        <f>IFERROR(__xludf.DUMMYFUNCTION("""COMPUTED_VALUE"""),"+77763231177")</f>
        <v>+77763231177</v>
      </c>
      <c r="P27" s="61" t="str">
        <f>IFERROR(__xludf.DUMMYFUNCTION("""COMPUTED_VALUE"""),"-")</f>
        <v>-</v>
      </c>
      <c r="Q27" s="61" t="str">
        <f>IFERROR(__xludf.DUMMYFUNCTION("""COMPUTED_VALUE"""),"mereika.d")</f>
        <v>mereika.d</v>
      </c>
      <c r="R27" s="61" t="str">
        <f>IFERROR(__xludf.DUMMYFUNCTION("""COMPUTED_VALUE"""),"-")</f>
        <v>-</v>
      </c>
      <c r="S27" s="61" t="str">
        <f>IFERROR(__xludf.DUMMYFUNCTION("""COMPUTED_VALUE"""),"051105601565-20260615103552117.pdf")</f>
        <v>051105601565-20260615103552117.pdf</v>
      </c>
      <c r="T27" s="61" t="str">
        <f>IFERROR(__xludf.DUMMYFUNCTION("""COMPUTED_VALUE"""),"5294415875685424215.jpg")</f>
        <v>5294415875685424215.jpg</v>
      </c>
      <c r="U27" s="61" t="str">
        <f>IFERROR(__xludf.DUMMYFUNCTION("""COMPUTED_VALUE"""),"bechalors")</f>
        <v>bechalors</v>
      </c>
      <c r="V27" s="61" t="str">
        <f>IFERROR(__xludf.DUMMYFUNCTION("""COMPUTED_VALUE"""),"4")</f>
        <v>4</v>
      </c>
      <c r="W27" s="61" t="str">
        <f>IFERROR(__xludf.DUMMYFUNCTION("""COMPUTED_VALUE"""),"two foreign language/ english and french teacher")</f>
        <v>two foreign language/ english and french teacher</v>
      </c>
      <c r="X27" s="61" t="str">
        <f>IFERROR(__xludf.DUMMYFUNCTION("""COMPUTED_VALUE"""),"Kazakh national pedagogical university named after Abai")</f>
        <v>Kazakh national pedagogical university named after Abai</v>
      </c>
      <c r="Y27" s="61" t="str">
        <f>IFERROR(__xludf.DUMMYFUNCTION("""COMPUTED_VALUE"""),"Yes")</f>
        <v>Yes</v>
      </c>
      <c r="Z27" s="61" t="str">
        <f>IFERROR(__xludf.DUMMYFUNCTION("""COMPUTED_VALUE"""),"Kazakhstan")</f>
        <v>Kazakhstan</v>
      </c>
      <c r="AA27" s="61" t="str">
        <f>IFERROR(__xludf.DUMMYFUNCTION("""COMPUTED_VALUE"""),"No")</f>
        <v>No</v>
      </c>
      <c r="AB27" s="61"/>
      <c r="AC27" s="61" t="str">
        <f>IFERROR(__xludf.DUMMYFUNCTION("""COMPUTED_VALUE"""),"yes")</f>
        <v>yes</v>
      </c>
      <c r="AD27" s="61" t="str">
        <f>IFERROR(__xludf.DUMMYFUNCTION("""COMPUTED_VALUE"""),"juz40_online")</f>
        <v>juz40_online</v>
      </c>
      <c r="AE27" s="65" t="str">
        <f>IFERROR(__xludf.DUMMYFUNCTION("""COMPUTED_VALUE"""),"https://www.instagram.com/juz40.eng?igsh=MXY3cXJwODVrYmtvNA==")</f>
        <v>https://www.instagram.com/juz40.eng?igsh=MXY3cXJwODVrYmtvNA==</v>
      </c>
      <c r="AF27" s="61" t="str">
        <f>IFERROR(__xludf.DUMMYFUNCTION("""COMPUTED_VALUE"""),"teaching students and preparing to UNT")</f>
        <v>teaching students and preparing to UNT</v>
      </c>
      <c r="AG27" s="61" t="str">
        <f>IFERROR(__xludf.DUMMYFUNCTION("""COMPUTED_VALUE"""),"3")</f>
        <v>3</v>
      </c>
      <c r="AH27" s="61" t="str">
        <f>IFERROR(__xludf.DUMMYFUNCTION("""COMPUTED_VALUE"""),"No")</f>
        <v>No</v>
      </c>
      <c r="AI27" s="61"/>
      <c r="AJ27" s="61"/>
      <c r="AK27" s="61"/>
      <c r="AL27" s="61" t="str">
        <f>IFERROR(__xludf.DUMMYFUNCTION("""COMPUTED_VALUE"""),"teacher")</f>
        <v>teacher</v>
      </c>
      <c r="AM27" s="61" t="str">
        <f>IFERROR(__xludf.DUMMYFUNCTION("""COMPUTED_VALUE"""),"CURRICULUM VITAE_ zhylkybay merey.pdf")</f>
        <v>CURRICULUM VITAE_ zhylkybay merey.pdf</v>
      </c>
      <c r="AN27" s="61" t="str">
        <f>IFERROR(__xludf.DUMMYFUNCTION("""COMPUTED_VALUE"""),"Yes, I have always believed that changing the world starts with addressing problems within one's immediate surroundings. In my personal capacity, I have worked to make a difference by supporting people around me, sharing knowledge, and contributing to ini"&amp;"tiatives that create social value. Whether helping classmates overcome academic challenges, participating in community service activities, or raising awareness about important issues, I have tried to turn concern into action. These experiences have shown "&amp;"me that impact is not measured solely by scale but by the positive difference made in people's lives. I aspire to continue creating meaningful change through sustained effort and leadership")</f>
        <v>Yes, I have always believed that changing the world starts with addressing problems within one's immediate surroundings. In my personal capacity, I have worked to make a difference by supporting people around me, sharing knowledge, and contributing to initiatives that create social value. Whether helping classmates overcome academic challenges, participating in community service activities, or raising awareness about important issues, I have tried to turn concern into action. These experiences have shown me that impact is not measured solely by scale but by the positive difference made in people's lives. I aspire to continue creating meaningful change through sustained effort and leadership</v>
      </c>
      <c r="AO27" s="61" t="str">
        <f>IFERROR(__xludf.DUMMYFUNCTION("""COMPUTED_VALUE"""),"A diplomatically significant country is one that can influence global affairs through its political, economic, and strategic relationships. In my view, the United States remains one of the most diplomatically significant countries because of its extensive"&amp;" alliances, role in international organizations, economic strength, and influence on global security issues. Its decisions often affect international trade, climate policy, conflict resolution, and technological development. However, diplomatic significan"&amp;"ce is increasingly shared with countries such as China, India, and France, which play important roles in shaping regional and global cooperation. Effective diplomacy today depends on collaboration among multiple influential nations rather than a single do"&amp;"minant power.")</f>
        <v>A diplomatically significant country is one that can influence global affairs through its political, economic, and strategic relationships. In my view, the United States remains one of the most diplomatically significant countries because of its extensive alliances, role in international organizations, economic strength, and influence on global security issues. Its decisions often affect international trade, climate policy, conflict resolution, and technological development. However, diplomatic significance is increasingly shared with countries such as China, India, and France, which play important roles in shaping regional and global cooperation. Effective diplomacy today depends on collaboration among multiple influential nations rather than a single dominant power.</v>
      </c>
      <c r="AP27" s="61" t="str">
        <f>IFERROR(__xludf.DUMMYFUNCTION("""COMPUTED_VALUE"""),"Youth play a vital role in diplomacy by fostering cross-cultural understanding, promoting dialogue, and bringing innovative solutions to global challenges. As digital natives, young people can connect with diverse communities, challenge stereotypes, and b"&amp;"uild international networks that strengthen mutual trust. I relate strongly to the idea of public diplomacy because it emphasizes people-to-people connections beyond formal government interactions. Through education, cultural exchange, social media engage"&amp;"ment, and community initiatives, individuals can represent their country's values and learn from others. I believe youth can act as bridges between cultures, helping create a more inclusive, peaceful, and cooperative international community.")</f>
        <v>Youth play a vital role in diplomacy by fostering cross-cultural understanding, promoting dialogue, and bringing innovative solutions to global challenges. As digital natives, young people can connect with diverse communities, challenge stereotypes, and build international networks that strengthen mutual trust. I relate strongly to the idea of public diplomacy because it emphasizes people-to-people connections beyond formal government interactions. Through education, cultural exchange, social media engagement, and community initiatives, individuals can represent their country's values and learn from others. I believe youth can act as bridges between cultures, helping create a more inclusive, peaceful, and cooperative international community.</v>
      </c>
      <c r="AQ27" s="61" t="str">
        <f>IFERROR(__xludf.DUMMYFUNCTION("""COMPUTED_VALUE"""),"assion is a deep sense of enthusiasm and commitment toward something meaningful. It provides the motivation to work consistently, overcome obstacles, and remain focused even when challenges arise. Passion transforms goals from mere ambitions into purposef"&amp;"ul pursuits, making the journey more rewarding and sustainable. For me, passion helps maintain discipline, fuels continuous learning, and encourages perseverance during difficult times. It keeps me motivated to improve my skills and strive for excellence."&amp;" While talent and opportunities are important, passion is often the driving force that enables individuals to stay dedicated, adapt to setbacks, and ultimately achieve their long-term goals.")</f>
        <v>assion is a deep sense of enthusiasm and commitment toward something meaningful. It provides the motivation to work consistently, overcome obstacles, and remain focused even when challenges arise. Passion transforms goals from mere ambitions into purposeful pursuits, making the journey more rewarding and sustainable. For me, passion helps maintain discipline, fuels continuous learning, and encourages perseverance during difficult times. It keeps me motivated to improve my skills and strive for excellence. While talent and opportunities are important, passion is often the driving force that enables individuals to stay dedicated, adapt to setbacks, and ultimately achieve their long-term goals.</v>
      </c>
      <c r="AR27" s="61" t="str">
        <f>IFERROR(__xludf.DUMMYFUNCTION("""COMPUTED_VALUE"""),"Yes, I consider myself a creative person because I enjoy thinking beyond conventional solutions and expressing ideas in ways that are engaging and meaningful. Creativity, for me, is the ability to connect different perspectives, communicate clearly, and a"&amp;"dapt messages for diverse audiences.
This creativity can be turned into an effective public diplomacy strategy by focusing on how ideas are shared across cultures. First, storytelling can be used to present national values, history, and achievements in a "&amp;"relatable and human-centered way, helping international audiences form emotional connections. Second, digital platforms offer powerful tools to reach global communities instantly; creative campaigns on social media, videos, and podcasts can engage especia"&amp;"lly younger audiences and encourage dialogue.
Third, cultural exchange programs such as art, music, education, and sports initiatives can build mutual respect and understanding between nations. Creativity also supports innovation in designing collaborativ"&amp;"e projects that address shared global challenges like climate change, education, and peacebuilding.
Finally, effective public diplomacy requires authenticity. Creative communication should reflect real values and encourage empathy rather than stereotypes."&amp;" By combining imagination with purpose, creativity becomes a bridge between cultures, strengthening trust and cooperation on the global stage.")</f>
        <v>Yes, I consider myself a creative person because I enjoy thinking beyond conventional solutions and expressing ideas in ways that are engaging and meaningful. Creativity, for me, is the ability to connect different perspectives, communicate clearly, and adapt messages for diverse audiences.
This creativity can be turned into an effective public diplomacy strategy by focusing on how ideas are shared across cultures. First, storytelling can be used to present national values, history, and achievements in a relatable and human-centered way, helping international audiences form emotional connections. Second, digital platforms offer powerful tools to reach global communities instantly; creative campaigns on social media, videos, and podcasts can engage especially younger audiences and encourage dialogue.
Third, cultural exchange programs such as art, music, education, and sports initiatives can build mutual respect and understanding between nations. Creativity also supports innovation in designing collaborative projects that address shared global challenges like climate change, education, and peacebuilding.
Finally, effective public diplomacy requires authenticity. Creative communication should reflect real values and encourage empathy rather than stereotypes. By combining imagination with purpose, creativity becomes a bridge between cultures, strengthening trust and cooperation on the global stage.</v>
      </c>
      <c r="AS27" s="61" t="str">
        <f>IFERROR(__xludf.DUMMYFUNCTION("""COMPUTED_VALUE"""),"Yes")</f>
        <v>Yes</v>
      </c>
      <c r="AT27" s="61" t="str">
        <f>IFERROR(__xludf.DUMMYFUNCTION("""COMPUTED_VALUE"""),"Yes")</f>
        <v>Yes</v>
      </c>
      <c r="AU27" s="61" t="str">
        <f>IFERROR(__xludf.DUMMYFUNCTION("""COMPUTED_VALUE"""),"Philosophy, Media &amp; Diplomacy in International Relations")</f>
        <v>Philosophy, Media &amp; Diplomacy in International Relations</v>
      </c>
      <c r="AV27" s="61" t="str">
        <f>IFERROR(__xludf.DUMMYFUNCTION("""COMPUTED_VALUE"""),"friend referred")</f>
        <v>friend referred</v>
      </c>
      <c r="AW27" s="61" t="str">
        <f>IFERROR(__xludf.DUMMYFUNCTION("""COMPUTED_VALUE"""),"intercultural communication")</f>
        <v>intercultural communication</v>
      </c>
      <c r="AX27" s="66" t="str">
        <f>IFERROR(__xludf.DUMMYFUNCTION("""COMPUTED_VALUE"""),"Yes")</f>
        <v>Yes</v>
      </c>
      <c r="AY27" s="66">
        <f>IFERROR(__xludf.DUMMYFUNCTION("""COMPUTED_VALUE"""),15.99)</f>
        <v>15.99</v>
      </c>
      <c r="AZ27" s="61"/>
      <c r="BA27" s="61"/>
      <c r="BB27" s="61"/>
      <c r="BC27" s="61"/>
      <c r="BD27" s="61"/>
      <c r="BE27" s="61"/>
      <c r="BF27" s="61"/>
      <c r="BG27" s="61"/>
      <c r="BH27" s="61"/>
      <c r="BI27" s="61"/>
      <c r="BJ27" s="61"/>
      <c r="BK27" s="61"/>
      <c r="BL27" s="61"/>
      <c r="BM27" s="61"/>
      <c r="BN27" s="61"/>
      <c r="BO27" s="61"/>
      <c r="BP27" s="61"/>
      <c r="BQ27" s="61"/>
      <c r="BR27" s="61"/>
    </row>
    <row r="28" ht="15.75" customHeight="1">
      <c r="A28" s="61" t="str">
        <f>IFERROR(__xludf.DUMMYFUNCTION("""COMPUTED_VALUE"""),"self")</f>
        <v>self</v>
      </c>
      <c r="B28" s="62">
        <f>IFERROR(__xludf.DUMMYFUNCTION("""COMPUTED_VALUE"""),39.0)</f>
        <v>39</v>
      </c>
      <c r="C28" s="61" t="str">
        <f>IFERROR(__xludf.DUMMYFUNCTION("""COMPUTED_VALUE"""),"self")</f>
        <v>self</v>
      </c>
      <c r="D28" s="63" t="str">
        <f>IFERROR(__xludf.DUMMYFUNCTION("""COMPUTED_VALUE"""),"Submitted")</f>
        <v>Submitted</v>
      </c>
      <c r="E28" s="63">
        <f>IFERROR(__xludf.DUMMYFUNCTION("""COMPUTED_VALUE"""),46188.67152777778)</f>
        <v>46188.67153</v>
      </c>
      <c r="F28" s="61" t="str">
        <f>IFERROR(__xludf.DUMMYFUNCTION("""COMPUTED_VALUE"""),"DEVINDRAPPA DEVINDRAPPA")</f>
        <v>DEVINDRAPPA DEVINDRAPPA</v>
      </c>
      <c r="G28" s="61" t="str">
        <f>IFERROR(__xludf.DUMMYFUNCTION("""COMPUTED_VALUE"""),"DEVINDRAPPA")</f>
        <v>DEVINDRAPPA</v>
      </c>
      <c r="H28" s="61" t="str">
        <f>IFERROR(__xludf.DUMMYFUNCTION("""COMPUTED_VALUE"""),"dnayak4505@gmail.com")</f>
        <v>dnayak4505@gmail.com</v>
      </c>
      <c r="I28" s="61" t="str">
        <f>IFERROR(__xludf.DUMMYFUNCTION("""COMPUTED_VALUE"""),"devunayak4505@gmail.com")</f>
        <v>devunayak4505@gmail.com</v>
      </c>
      <c r="J28" s="61" t="str">
        <f>IFERROR(__xludf.DUMMYFUNCTION("""COMPUTED_VALUE"""),"DIVISION OF CROP PROTECTION, ICAR-INDIAN INSTITUTE OF HORTICULTURAL RESERACH, HESARAGHATA LAKE POST, BENAGLURU, BENGALURU, India")</f>
        <v>DIVISION OF CROP PROTECTION, ICAR-INDIAN INSTITUTE OF HORTICULTURAL RESERACH, HESARAGHATA LAKE POST, BENAGLURU, BENGALURU, India</v>
      </c>
      <c r="K28" s="61" t="str">
        <f>IFERROR(__xludf.DUMMYFUNCTION("""COMPUTED_VALUE"""),"INDIAN")</f>
        <v>INDIAN</v>
      </c>
      <c r="L28" s="64" t="str">
        <f>IFERROR(__xludf.DUMMYFUNCTION("""COMPUTED_VALUE"""),"+918494979182")</f>
        <v>+918494979182</v>
      </c>
      <c r="M28" s="64">
        <f>IFERROR(__xludf.DUMMYFUNCTION("""COMPUTED_VALUE"""),31990.0)</f>
        <v>31990</v>
      </c>
      <c r="N28" s="61" t="str">
        <f>IFERROR(__xludf.DUMMYFUNCTION("""COMPUTED_VALUE"""),"S3597877")</f>
        <v>S3597877</v>
      </c>
      <c r="O28" s="61" t="str">
        <f>IFERROR(__xludf.DUMMYFUNCTION("""COMPUTED_VALUE"""),"+918050575729")</f>
        <v>+918050575729</v>
      </c>
      <c r="P28" s="65" t="str">
        <f>IFERROR(__xludf.DUMMYFUNCTION("""COMPUTED_VALUE"""),"https://www.linkedin.com/in/devindrappa-m-31326a114/")</f>
        <v>https://www.linkedin.com/in/devindrappa-m-31326a114/</v>
      </c>
      <c r="Q28" s="61"/>
      <c r="R28" s="65" t="str">
        <f>IFERROR(__xludf.DUMMYFUNCTION("""COMPUTED_VALUE"""),"https://www.facebook.com/devu.nayak.3/")</f>
        <v>https://www.facebook.com/devu.nayak.3/</v>
      </c>
      <c r="S28" s="61" t="str">
        <f>IFERROR(__xludf.DUMMYFUNCTION("""COMPUTED_VALUE"""),"Dr. Devindrappa passport.pdf")</f>
        <v>Dr. Devindrappa passport.pdf</v>
      </c>
      <c r="T28" s="61" t="str">
        <f>IFERROR(__xludf.DUMMYFUNCTION("""COMPUTED_VALUE"""),"Devindrappa Photo.jpeg")</f>
        <v>Devindrappa Photo.jpeg</v>
      </c>
      <c r="U28" s="61" t="str">
        <f>IFERROR(__xludf.DUMMYFUNCTION("""COMPUTED_VALUE"""),"Ph.D.")</f>
        <v>Ph.D.</v>
      </c>
      <c r="V28" s="61" t="str">
        <f>IFERROR(__xludf.DUMMYFUNCTION("""COMPUTED_VALUE"""),"Agriculture")</f>
        <v>Agriculture</v>
      </c>
      <c r="W28" s="61" t="str">
        <f>IFERROR(__xludf.DUMMYFUNCTION("""COMPUTED_VALUE"""),"Nematology")</f>
        <v>Nematology</v>
      </c>
      <c r="X28" s="61" t="str">
        <f>IFERROR(__xludf.DUMMYFUNCTION("""COMPUTED_VALUE"""),"ICAR- Indian Agriculture Research Institute, New Delhi, India")</f>
        <v>ICAR- Indian Agriculture Research Institute, New Delhi, India</v>
      </c>
      <c r="Y28" s="61" t="str">
        <f>IFERROR(__xludf.DUMMYFUNCTION("""COMPUTED_VALUE"""),"Yes")</f>
        <v>Yes</v>
      </c>
      <c r="Z28" s="61" t="str">
        <f>IFERROR(__xludf.DUMMYFUNCTION("""COMPUTED_VALUE"""),"India")</f>
        <v>India</v>
      </c>
      <c r="AA28" s="61" t="str">
        <f>IFERROR(__xludf.DUMMYFUNCTION("""COMPUTED_VALUE"""),"No")</f>
        <v>No</v>
      </c>
      <c r="AB28" s="61"/>
      <c r="AC28" s="61" t="str">
        <f>IFERROR(__xludf.DUMMYFUNCTION("""COMPUTED_VALUE"""),"Yes")</f>
        <v>Yes</v>
      </c>
      <c r="AD28" s="61" t="str">
        <f>IFERROR(__xludf.DUMMYFUNCTION("""COMPUTED_VALUE"""),"No")</f>
        <v>No</v>
      </c>
      <c r="AE28" s="61"/>
      <c r="AF28" s="61"/>
      <c r="AG28" s="61"/>
      <c r="AH28" s="61" t="str">
        <f>IFERROR(__xludf.DUMMYFUNCTION("""COMPUTED_VALUE"""),"Yes")</f>
        <v>Yes</v>
      </c>
      <c r="AI28" s="61" t="str">
        <f>IFERROR(__xludf.DUMMYFUNCTION("""COMPUTED_VALUE"""),"Senior Scientist")</f>
        <v>Senior Scientist</v>
      </c>
      <c r="AJ28" s="61" t="str">
        <f>IFERROR(__xludf.DUMMYFUNCTION("""COMPUTED_VALUE"""),"No")</f>
        <v>No</v>
      </c>
      <c r="AK28" s="61"/>
      <c r="AL28" s="61" t="str">
        <f>IFERROR(__xludf.DUMMYFUNCTION("""COMPUTED_VALUE"""),"Researcher, Scientist, Innovation of new technologies in the field of Agriculture/Horticultural crop protection")</f>
        <v>Researcher, Scientist, Innovation of new technologies in the field of Agriculture/Horticultural crop protection</v>
      </c>
      <c r="AM28" s="61" t="str">
        <f>IFERROR(__xludf.DUMMYFUNCTION("""COMPUTED_VALUE"""),"CV of Dr.Devindrappa scientist Biodata &amp;profile.docx")</f>
        <v>CV of Dr.Devindrappa scientist Biodata &amp;profile.docx</v>
      </c>
      <c r="AN28" s="61" t="str">
        <f>IFERROR(__xludf.DUMMYFUNCTION("""COMPUTED_VALUE"""),"Yes, I have often thought about changing the world, particularly by contributing to sustainable agriculture and food security. In my personal and professional capacity as a scientist, I have focused on developing eco-friendly management strategies for Ins"&amp;"ect pest, plant-parasitic nematodes and diseases  affecting horticultural crops. Through research on biological control agents, biofumigation, and integrated pest management approaches, I aim to reduce dependence on chemical pesticides and promote environ"&amp;"mentally sustainable farming practices. I have also actively participated in farmer training programs, student mentoring, and knowledge dissemination activities to empower stakeholders with scientific solutions that improve crop productivity, protect natu"&amp;"ral resources, and enhance livelihoods.")</f>
        <v>Yes, I have often thought about changing the world, particularly by contributing to sustainable agriculture and food security. In my personal and professional capacity as a scientist, I have focused on developing eco-friendly management strategies for Insect pest, plant-parasitic nematodes and diseases  affecting horticultural crops. Through research on biological control agents, biofumigation, and integrated pest management approaches, I aim to reduce dependence on chemical pesticides and promote environmentally sustainable farming practices. I have also actively participated in farmer training programs, student mentoring, and knowledge dissemination activities to empower stakeholders with scientific solutions that improve crop productivity, protect natural resources, and enhance livelihoods.</v>
      </c>
      <c r="AO28" s="61" t="str">
        <f>IFERROR(__xludf.DUMMYFUNCTION("""COMPUTED_VALUE"""),"In my opinion, India is one of the most diplomatically significant countries in the world due to its strategic geopolitical location, rapidly growing economy, democratic values, and increasing influence in global affairs. India plays a crucial role in int"&amp;"ernational organizations such as the G20, BRICS, QUAD, and the United Nations, advocating for peace, sustainable development, and cooperation among nations. Its balanced foreign policy, emphasis on multilateralism, and ability to maintain relationships wi"&amp;"th diverse global powers enhance its diplomatic importance. India's contributions to food security, climate action, healthcare, and technology further strengthen its position as a responsible and influential global partner.")</f>
        <v>In my opinion, India is one of the most diplomatically significant countries in the world due to its strategic geopolitical location, rapidly growing economy, democratic values, and increasing influence in global affairs. India plays a crucial role in international organizations such as the G20, BRICS, QUAD, and the United Nations, advocating for peace, sustainable development, and cooperation among nations. Its balanced foreign policy, emphasis on multilateralism, and ability to maintain relationships with diverse global powers enhance its diplomatic importance. India's contributions to food security, climate action, healthcare, and technology further strengthen its position as a responsible and influential global partner.</v>
      </c>
      <c r="AP28" s="61" t="str">
        <f>IFERROR(__xludf.DUMMYFUNCTION("""COMPUTED_VALUE"""),"Youth play a vital role in diplomacy by fostering cross-cultural understanding, promoting innovation, and addressing global challenges through collaboration and dialogue. As future leaders, young people bring fresh perspectives, adaptability, and a strong"&amp;" commitment to issues such as climate change, sustainable development, public health, and social equity. Through educational exchanges, international forums, digital platforms, and community initiatives, youth can build bridges between nations and contrib"&amp;"ute to peaceful and constructive international relations.
I relate to the idea of Public Diplomacy as a process of connecting people beyond governments to strengthen mutual understanding and cooperation. As a scientist working in agricultural research, I "&amp;"believe that sharing knowledge, promoting sustainable technologies, and engaging with diverse communities are forms of public diplomacy. Scientific collaboration transcends borders and helps address common global concerns such as food security and environ"&amp;"mental sustainability. By contributing to capacity building, knowledge exchange, and public awareness, I aspire to support international cooperation and create a positive impact on society.")</f>
        <v>Youth play a vital role in diplomacy by fostering cross-cultural understanding, promoting innovation, and addressing global challenges through collaboration and dialogue. As future leaders, young people bring fresh perspectives, adaptability, and a strong commitment to issues such as climate change, sustainable development, public health, and social equity. Through educational exchanges, international forums, digital platforms, and community initiatives, youth can build bridges between nations and contribute to peaceful and constructive international relations.
I relate to the idea of Public Diplomacy as a process of connecting people beyond governments to strengthen mutual understanding and cooperation. As a scientist working in agricultural research, I believe that sharing knowledge, promoting sustainable technologies, and engaging with diverse communities are forms of public diplomacy. Scientific collaboration transcends borders and helps address common global concerns such as food security and environmental sustainability. By contributing to capacity building, knowledge exchange, and public awareness, I aspire to support international cooperation and create a positive impact on society.</v>
      </c>
      <c r="AQ28" s="61" t="str">
        <f>IFERROR(__xludf.DUMMYFUNCTION("""COMPUTED_VALUE"""),"Passion is a strong sense of enthusiasm, dedication, and purpose toward something that deeply inspires and motivates an individual. It provides the energy and perseverance needed to overcome obstacles and remain committed to long-term goals. Passion trans"&amp;"forms challenges into opportunities for growth and encourages continuous learning and self-improvement.
For me, passion is essential in achieving my goals because it drives my commitment to scientific research and contributing to sustainable agriculture. "&amp;"It motivates me to seek innovative solutions to complex problems, work diligently, and maintain focus even during difficult times. Passion also fosters resilience, creativity, and determination, helping me stay aligned with my vision of making a meaningfu"&amp;"l impact on society. Ultimately, passion is not just about loving what we do; it is the force that inspires us to pursue excellence and turn our aspirations into reality")</f>
        <v>Passion is a strong sense of enthusiasm, dedication, and purpose toward something that deeply inspires and motivates an individual. It provides the energy and perseverance needed to overcome obstacles and remain committed to long-term goals. Passion transforms challenges into opportunities for growth and encourages continuous learning and self-improvement.
For me, passion is essential in achieving my goals because it drives my commitment to scientific research and contributing to sustainable agriculture. It motivates me to seek innovative solutions to complex problems, work diligently, and maintain focus even during difficult times. Passion also fosters resilience, creativity, and determination, helping me stay aligned with my vision of making a meaningful impact on society. Ultimately, passion is not just about loving what we do; it is the force that inspires us to pursue excellence and turn our aspirations into reality</v>
      </c>
      <c r="AR28" s="61" t="str">
        <f>IFERROR(__xludf.DUMMYFUNCTION("""COMPUTED_VALUE"""),"Yes, I consider myself a creative person, particularly in finding innovative solutions to complex challenges and communicating ideas effectively. Creativity is not limited to art or design; it also involves thinking differently, adapting to new situations"&amp;", and developing practical approaches to address societal issues. In my professional life, creativity has helped me design sustainable agricultural solutions and engage diverse stakeholders through knowledge sharing and capacity-building activities.
Creat"&amp;"ivity can be transformed into an effective public diplomacy strategy by using innovative methods to foster mutual understanding and build positive relationships among people from different cultures and nations. Storytelling, digital communication platform"&amp;"s, scientific collaborations, educational exchanges, and community outreach programs can make diplomacy more accessible and impactful. By presenting ideas in engaging and relatable ways, creativity helps bridge cultural differences, promote dialogue, and "&amp;"encourage cooperation on global challenges.
I believe that combining creativity with empathy, effective communication, and a willingness to learn from others can strengthen public diplomacy efforts and contribute to building a more connected, inclusive, a"&amp;"nd peaceful world.")</f>
        <v>Yes, I consider myself a creative person, particularly in finding innovative solutions to complex challenges and communicating ideas effectively. Creativity is not limited to art or design; it also involves thinking differently, adapting to new situations, and developing practical approaches to address societal issues. In my professional life, creativity has helped me design sustainable agricultural solutions and engage diverse stakeholders through knowledge sharing and capacity-building activities.
Creativity can be transformed into an effective public diplomacy strategy by using innovative methods to foster mutual understanding and build positive relationships among people from different cultures and nations. Storytelling, digital communication platforms, scientific collaborations, educational exchanges, and community outreach programs can make diplomacy more accessible and impactful. By presenting ideas in engaging and relatable ways, creativity helps bridge cultural differences, promote dialogue, and encourage cooperation on global challenges.
I believe that combining creativity with empathy, effective communication, and a willingness to learn from others can strengthen public diplomacy efforts and contribute to building a more connected, inclusive, and peaceful world.</v>
      </c>
      <c r="AS28" s="61" t="str">
        <f>IFERROR(__xludf.DUMMYFUNCTION("""COMPUTED_VALUE"""),"Yes")</f>
        <v>Yes</v>
      </c>
      <c r="AT28" s="61" t="str">
        <f>IFERROR(__xludf.DUMMYFUNCTION("""COMPUTED_VALUE"""),"Yes")</f>
        <v>Yes</v>
      </c>
      <c r="AU28" s="61" t="str">
        <f>IFERROR(__xludf.DUMMYFUNCTION("""COMPUTED_VALUE"""),"Strategy, Peace &amp; Cultural Diplomacy")</f>
        <v>Strategy, Peace &amp; Cultural Diplomacy</v>
      </c>
      <c r="AV28" s="61" t="str">
        <f>IFERROR(__xludf.DUMMYFUNCTION("""COMPUTED_VALUE"""),"Scholarship portal")</f>
        <v>Scholarship portal</v>
      </c>
      <c r="AW28" s="61" t="str">
        <f>IFERROR(__xludf.DUMMYFUNCTION("""COMPUTED_VALUE"""),"Arts, Culture and Soft power")</f>
        <v>Arts, Culture and Soft power</v>
      </c>
      <c r="AX28" s="66" t="str">
        <f>IFERROR(__xludf.DUMMYFUNCTION("""COMPUTED_VALUE"""),"Yes")</f>
        <v>Yes</v>
      </c>
      <c r="AY28" s="66">
        <f>IFERROR(__xludf.DUMMYFUNCTION("""COMPUTED_VALUE"""),15.99)</f>
        <v>15.99</v>
      </c>
      <c r="AZ28" s="61"/>
      <c r="BA28" s="61"/>
      <c r="BB28" s="61"/>
      <c r="BC28" s="61"/>
      <c r="BD28" s="61"/>
      <c r="BE28" s="61"/>
      <c r="BF28" s="61"/>
      <c r="BG28" s="61"/>
      <c r="BH28" s="61"/>
      <c r="BI28" s="61"/>
      <c r="BJ28" s="61"/>
      <c r="BK28" s="61"/>
      <c r="BL28" s="61"/>
      <c r="BM28" s="61"/>
      <c r="BN28" s="61"/>
      <c r="BO28" s="61"/>
      <c r="BP28" s="61"/>
      <c r="BQ28" s="61"/>
      <c r="BR28" s="61"/>
    </row>
    <row r="29" ht="15.75" customHeight="1">
      <c r="A29" s="61" t="str">
        <f>IFERROR(__xludf.DUMMYFUNCTION("""COMPUTED_VALUE"""),"Full/Partial")</f>
        <v>Full/Partial</v>
      </c>
      <c r="B29" s="62">
        <f>IFERROR(__xludf.DUMMYFUNCTION("""COMPUTED_VALUE"""),40.0)</f>
        <v>40</v>
      </c>
      <c r="C29" s="61" t="str">
        <f>IFERROR(__xludf.DUMMYFUNCTION("""COMPUTED_VALUE"""),"Partial")</f>
        <v>Partial</v>
      </c>
      <c r="D29" s="63" t="str">
        <f>IFERROR(__xludf.DUMMYFUNCTION("""COMPUTED_VALUE"""),"Submitted")</f>
        <v>Submitted</v>
      </c>
      <c r="E29" s="63">
        <f>IFERROR(__xludf.DUMMYFUNCTION("""COMPUTED_VALUE"""),46188.92291666667)</f>
        <v>46188.92292</v>
      </c>
      <c r="F29" s="61" t="str">
        <f>IFERROR(__xludf.DUMMYFUNCTION("""COMPUTED_VALUE"""),"Johnlenon Aliser")</f>
        <v>Johnlenon Aliser</v>
      </c>
      <c r="G29" s="61" t="str">
        <f>IFERROR(__xludf.DUMMYFUNCTION("""COMPUTED_VALUE"""),"Johnlenon Aliser")</f>
        <v>Johnlenon Aliser</v>
      </c>
      <c r="H29" s="61" t="str">
        <f>IFERROR(__xludf.DUMMYFUNCTION("""COMPUTED_VALUE"""),"johnlenonaliser@students.unnes.ac.id")</f>
        <v>johnlenonaliser@students.unnes.ac.id</v>
      </c>
      <c r="I29" s="61" t="str">
        <f>IFERROR(__xludf.DUMMYFUNCTION("""COMPUTED_VALUE"""),"johnlenon.aliser@g.msuiit.edu.ph")</f>
        <v>johnlenon.aliser@g.msuiit.edu.ph</v>
      </c>
      <c r="J29" s="61" t="str">
        <f>IFERROR(__xludf.DUMMYFUNCTION("""COMPUTED_VALUE"""),"Asrama Mahasiswa Internasional UNNES, Semarang City, Indonesia, Purok Lerio Brgy. Acmac Iligan City, Philippines, Semarang City, Indonesia")</f>
        <v>Asrama Mahasiswa Internasional UNNES, Semarang City, Indonesia, Purok Lerio Brgy. Acmac Iligan City, Philippines, Semarang City, Indonesia</v>
      </c>
      <c r="K29" s="61" t="str">
        <f>IFERROR(__xludf.DUMMYFUNCTION("""COMPUTED_VALUE"""),"Filipino")</f>
        <v>Filipino</v>
      </c>
      <c r="L29" s="64" t="str">
        <f>IFERROR(__xludf.DUMMYFUNCTION("""COMPUTED_VALUE"""),"+639300581978")</f>
        <v>+639300581978</v>
      </c>
      <c r="M29" s="64">
        <f>IFERROR(__xludf.DUMMYFUNCTION("""COMPUTED_VALUE"""),33390.0)</f>
        <v>33390</v>
      </c>
      <c r="N29" s="61" t="str">
        <f>IFERROR(__xludf.DUMMYFUNCTION("""COMPUTED_VALUE"""),"P0021211C")</f>
        <v>P0021211C</v>
      </c>
      <c r="O29" s="61" t="str">
        <f>IFERROR(__xludf.DUMMYFUNCTION("""COMPUTED_VALUE"""),"+63952934274")</f>
        <v>+63952934274</v>
      </c>
      <c r="P29" s="65" t="str">
        <f>IFERROR(__xludf.DUMMYFUNCTION("""COMPUTED_VALUE"""),"https://www.linkedin.com/in/johnlenon-aliser-460083366/")</f>
        <v>https://www.linkedin.com/in/johnlenon-aliser-460083366/</v>
      </c>
      <c r="Q29" s="61" t="str">
        <f>IFERROR(__xludf.DUMMYFUNCTION("""COMPUTED_VALUE"""),"N/A")</f>
        <v>N/A</v>
      </c>
      <c r="R29" s="61" t="str">
        <f>IFERROR(__xludf.DUMMYFUNCTION("""COMPUTED_VALUE"""),"N/A")</f>
        <v>N/A</v>
      </c>
      <c r="S29" s="61" t="str">
        <f>IFERROR(__xludf.DUMMYFUNCTION("""COMPUTED_VALUE"""),"VALID PASSPORT.pdf")</f>
        <v>VALID PASSPORT.pdf</v>
      </c>
      <c r="T29" s="61" t="str">
        <f>IFERROR(__xludf.DUMMYFUNCTION("""COMPUTED_VALUE"""),"aaa.JPG")</f>
        <v>aaa.JPG</v>
      </c>
      <c r="U29" s="61" t="str">
        <f>IFERROR(__xludf.DUMMYFUNCTION("""COMPUTED_VALUE"""),"PHD")</f>
        <v>PHD</v>
      </c>
      <c r="V29" s="61" t="str">
        <f>IFERROR(__xludf.DUMMYFUNCTION("""COMPUTED_VALUE"""),"Sports Education")</f>
        <v>Sports Education</v>
      </c>
      <c r="W29" s="61" t="str">
        <f>IFERROR(__xludf.DUMMYFUNCTION("""COMPUTED_VALUE"""),"Sports Development, Physical Education, Qualitative Research")</f>
        <v>Sports Development, Physical Education, Qualitative Research</v>
      </c>
      <c r="X29" s="61" t="str">
        <f>IFERROR(__xludf.DUMMYFUNCTION("""COMPUTED_VALUE"""),"Universitas Negeri Semarang")</f>
        <v>Universitas Negeri Semarang</v>
      </c>
      <c r="Y29" s="61" t="str">
        <f>IFERROR(__xludf.DUMMYFUNCTION("""COMPUTED_VALUE"""),"Yes")</f>
        <v>Yes</v>
      </c>
      <c r="Z29" s="61" t="str">
        <f>IFERROR(__xludf.DUMMYFUNCTION("""COMPUTED_VALUE"""),"Indonesia")</f>
        <v>Indonesia</v>
      </c>
      <c r="AA29" s="61" t="str">
        <f>IFERROR(__xludf.DUMMYFUNCTION("""COMPUTED_VALUE"""),"No")</f>
        <v>No</v>
      </c>
      <c r="AB29" s="61" t="str">
        <f>IFERROR(__xludf.DUMMYFUNCTION("""COMPUTED_VALUE"""),"N/A")</f>
        <v>N/A</v>
      </c>
      <c r="AC29" s="61" t="str">
        <f>IFERROR(__xludf.DUMMYFUNCTION("""COMPUTED_VALUE"""),"Yes")</f>
        <v>Yes</v>
      </c>
      <c r="AD29" s="61" t="str">
        <f>IFERROR(__xludf.DUMMYFUNCTION("""COMPUTED_VALUE"""),"Yes")</f>
        <v>Yes</v>
      </c>
      <c r="AE29" s="65" t="str">
        <f>IFERROR(__xludf.DUMMYFUNCTION("""COMPUTED_VALUE"""),"https://msuiit.edu.ph/")</f>
        <v>https://msuiit.edu.ph/</v>
      </c>
      <c r="AF29" s="61" t="str">
        <f>IFERROR(__xludf.DUMMYFUNCTION("""COMPUTED_VALUE"""),"I used to work as secretary in Department of Physical Education, College of Education; Taekwondo Club Coach")</f>
        <v>I used to work as secretary in Department of Physical Education, College of Education; Taekwondo Club Coach</v>
      </c>
      <c r="AG29" s="61" t="str">
        <f>IFERROR(__xludf.DUMMYFUNCTION("""COMPUTED_VALUE"""),"Almost 4 years (excluding my previous working experiences)")</f>
        <v>Almost 4 years (excluding my previous working experiences)</v>
      </c>
      <c r="AH29" s="61" t="str">
        <f>IFERROR(__xludf.DUMMYFUNCTION("""COMPUTED_VALUE"""),"Yes")</f>
        <v>Yes</v>
      </c>
      <c r="AI29" s="61" t="str">
        <f>IFERROR(__xludf.DUMMYFUNCTION("""COMPUTED_VALUE"""),"Assistant Professor")</f>
        <v>Assistant Professor</v>
      </c>
      <c r="AJ29" s="61" t="str">
        <f>IFERROR(__xludf.DUMMYFUNCTION("""COMPUTED_VALUE"""),"No, but as soon I got my PhD Degree in PE, I plan to organize an annual Youth Summit for Student- Athletes in Iligan City")</f>
        <v>No, but as soon I got my PhD Degree in PE, I plan to organize an annual Youth Summit for Student- Athletes in Iligan City</v>
      </c>
      <c r="AK29" s="61" t="str">
        <f>IFERROR(__xludf.DUMMYFUNCTION("""COMPUTED_VALUE"""),"To foster leadership skills of young athletes in my local area; To strengthen collaboration and engagement among student-athletes, coaches, and sports leaders in Iligan City; To empower student-athletes to become active leaders in their schools and commun"&amp;"ities.")</f>
        <v>To foster leadership skills of young athletes in my local area; To strengthen collaboration and engagement among student-athletes, coaches, and sports leaders in Iligan City; To empower student-athletes to become active leaders in their schools and communities.</v>
      </c>
      <c r="AL29" s="61" t="str">
        <f>IFERROR(__xludf.DUMMYFUNCTION("""COMPUTED_VALUE"""),"Creative Writer, Researcher, Sports Development Advocate")</f>
        <v>Creative Writer, Researcher, Sports Development Advocate</v>
      </c>
      <c r="AM29" s="61" t="str">
        <f>IFERROR(__xludf.DUMMYFUNCTION("""COMPUTED_VALUE"""),"Curriculum Vitae 2026 - Aliser.pdf")</f>
        <v>Curriculum Vitae 2026 - Aliser.pdf</v>
      </c>
      <c r="AN29" s="61" t="str">
        <f>IFERROR(__xludf.DUMMYFUNCTION("""COMPUTED_VALUE"""),"Changing the world may seem to be very ambitious. However, I believe that a meaningful change starts within our communities.  For the past few years, I have seen the importance of sports in positive youth development.  At the same time, I have also observ"&amp;"ed structural challenges and constraints that hinder athletes’ growth. As an educator and researcher, I am currently conducting a study that aimed to create a contextualized university sport vitality framework to support evidence-informed decision-making,"&amp;" institutional planning, and proposing intervention strategies.  This action is perceived to contribute to sustainable sports systems leading to active participation and positive change.")</f>
        <v>Changing the world may seem to be very ambitious. However, I believe that a meaningful change starts within our communities.  For the past few years, I have seen the importance of sports in positive youth development.  At the same time, I have also observed structural challenges and constraints that hinder athletes’ growth. As an educator and researcher, I am currently conducting a study that aimed to create a contextualized university sport vitality framework to support evidence-informed decision-making, institutional planning, and proposing intervention strategies.  This action is perceived to contribute to sustainable sports systems leading to active participation and positive change.</v>
      </c>
      <c r="AO29" s="61" t="str">
        <f>IFERROR(__xludf.DUMMYFUNCTION("""COMPUTED_VALUE"""),"From my perspective, it is fair to say that every country is diplomatically significant in its own way because each contributes to fostering international relations and cooperation. In ASEAN region, for example, cultural exchange, economic partnerships, a"&amp;"nd regional program initiatives demonstrate the value of diplomacy in addressing shared challenges. Regardless of a country’s size, political influence and economic power, every nation plays a crucial role in promoting healthy dialogue, mutual understandi"&amp;"ng, and peaceful coexistence. I believe that all nations are responsible for working together to create a more peaceful, safe, and sustainable future for their people and the global community.")</f>
        <v>From my perspective, it is fair to say that every country is diplomatically significant in its own way because each contributes to fostering international relations and cooperation. In ASEAN region, for example, cultural exchange, economic partnerships, and regional program initiatives demonstrate the value of diplomacy in addressing shared challenges. Regardless of a country’s size, political influence and economic power, every nation plays a crucial role in promoting healthy dialogue, mutual understanding, and peaceful coexistence. I believe that all nations are responsible for working together to create a more peaceful, safe, and sustainable future for their people and the global community.</v>
      </c>
      <c r="AP29" s="61" t="str">
        <f>IFERROR(__xludf.DUMMYFUNCTION("""COMPUTED_VALUE"""),"The role of youth in diplomacy is pivotal in bridging cultures and communities across nations. I believe that young people today can help articulate global challenges and promote mutual understanding through healthy dialogue, such platforms like the Young"&amp;" Public Diplomacy Summit.  I consider youth as “voices of revival” who can potentially help shape the future of international cooperation and global development. As an educator and researcher, I believe I have been involved in public diplomacy through my "&amp;"daily interactions with people I worked with within the community and academia. Currently,  as an international  at Universitas Negeri Semarang, Indonesia,  I have the opportunity to exchange my ideas , learn from others, and share my  unique Filipino exp"&amp;"eriences . This has also allowed me to participate in healthy conversations with people from diverse cultures and perspectives, strengthening my appreciation to intercultural dialogue and collaboration. Overall, I believe that public diplomacy is  not lim"&amp;"ited to formal relations between our governments. It also occurs  through daily conversations, shared experiences, and meaningful exchanges that create opportunities for  positive change.")</f>
        <v>The role of youth in diplomacy is pivotal in bridging cultures and communities across nations. I believe that young people today can help articulate global challenges and promote mutual understanding through healthy dialogue, such platforms like the Young Public Diplomacy Summit.  I consider youth as “voices of revival” who can potentially help shape the future of international cooperation and global development. As an educator and researcher, I believe I have been involved in public diplomacy through my daily interactions with people I worked with within the community and academia. Currently,  as an international  at Universitas Negeri Semarang, Indonesia,  I have the opportunity to exchange my ideas , learn from others, and share my  unique Filipino experiences . This has also allowed me to participate in healthy conversations with people from diverse cultures and perspectives, strengthening my appreciation to intercultural dialogue and collaboration. Overall, I believe that public diplomacy is  not limited to formal relations between our governments. It also occurs  through daily conversations, shared experiences, and meaningful exchanges that create opportunities for  positive change.</v>
      </c>
      <c r="AQ29" s="61" t="str">
        <f>IFERROR(__xludf.DUMMYFUNCTION("""COMPUTED_VALUE"""),"Passion is a drive that compels a person to pursue meaningful goals despite challenges  and setbacks. I describe passion as overflowing  sense of energy, excitement, and commitment , that enables  a person to keep striving, especially during the trying ti"&amp;"mes.  As someone who seeks to improve the university sports systems through the development of contextualized sports vitality  framework, passion motivates me to continue learning, conducting research, and finding solutions to core issues that affect athl"&amp;"etes, institutions, and communities. While I acknowledge that it may take some time to realize my long-term goals, I remain committed, persevering, and dedicated to the long process. Through these efforts, I believe that I can contribute to the advancemen"&amp;"t of  sport development and create positive impact on the lives of my fellow youth – perhaps, influencing the future.")</f>
        <v>Passion is a drive that compels a person to pursue meaningful goals despite challenges  and setbacks. I describe passion as overflowing  sense of energy, excitement, and commitment , that enables  a person to keep striving, especially during the trying times.  As someone who seeks to improve the university sports systems through the development of contextualized sports vitality  framework, passion motivates me to continue learning, conducting research, and finding solutions to core issues that affect athletes, institutions, and communities. While I acknowledge that it may take some time to realize my long-term goals, I remain committed, persevering, and dedicated to the long process. Through these efforts, I believe that I can contribute to the advancement of  sport development and create positive impact on the lives of my fellow youth – perhaps, influencing the future.</v>
      </c>
      <c r="AR29" s="61" t="str">
        <f>IFERROR(__xludf.DUMMYFUNCTION("""COMPUTED_VALUE"""),"As an educator and researcher, I am expected to demonstrate creativity in my work, particularly when proposing sustainable interventions and meaningful solutions. Creativity enables me to generate new ideas, address existing gaps, and contribute to the ad"&amp;"vancement of knowledge. I apply creativity in designing learning experiences and exploring innovative approaches to improve sports development initiatives. As mentioned in the previous section, one example is my ongoing study on developing a contextualize"&amp;"d sports vitality framework , which aims to give deeper understanding of practical and theoretical insights on improving  the university sports systems across eleven Mindanao State University campuses. 
This creativity can be transformed into effective pu"&amp;"blic diplomacy strategy by creating platforms that will encourage dialogue, collaboration, and mutual understanding stakeholders. Through sports development initiatives, individuals from different backgrounds can come together to share perspectives, value"&amp;"s, and experiences.  Such innovative approaches not only address the existing structural challenges  but also promote collaboration, inclusivity, and connection. In this way,  creativity can help make public diplomacy more relevant, participatory, and res"&amp;"ponsive to the needs of the youth.")</f>
        <v>As an educator and researcher, I am expected to demonstrate creativity in my work, particularly when proposing sustainable interventions and meaningful solutions. Creativity enables me to generate new ideas, address existing gaps, and contribute to the advancement of knowledge. I apply creativity in designing learning experiences and exploring innovative approaches to improve sports development initiatives. As mentioned in the previous section, one example is my ongoing study on developing a contextualized sports vitality framework , which aims to give deeper understanding of practical and theoretical insights on improving  the university sports systems across eleven Mindanao State University campuses. 
This creativity can be transformed into effective public diplomacy strategy by creating platforms that will encourage dialogue, collaboration, and mutual understanding stakeholders. Through sports development initiatives, individuals from different backgrounds can come together to share perspectives, values, and experiences.  Such innovative approaches not only address the existing structural challenges  but also promote collaboration, inclusivity, and connection. In this way,  creativity can help make public diplomacy more relevant, participatory, and responsive to the needs of the youth.</v>
      </c>
      <c r="AS29" s="61" t="str">
        <f>IFERROR(__xludf.DUMMYFUNCTION("""COMPUTED_VALUE"""),"Yes")</f>
        <v>Yes</v>
      </c>
      <c r="AT29" s="61" t="str">
        <f>IFERROR(__xludf.DUMMYFUNCTION("""COMPUTED_VALUE"""),"Yes")</f>
        <v>Yes</v>
      </c>
      <c r="AU29" s="61" t="str">
        <f>IFERROR(__xludf.DUMMYFUNCTION("""COMPUTED_VALUE"""),"Global Politics, Diplomacy &amp; Identities")</f>
        <v>Global Politics, Diplomacy &amp; Identities</v>
      </c>
      <c r="AV29" s="61" t="str">
        <f>IFERROR(__xludf.DUMMYFUNCTION("""COMPUTED_VALUE"""),"Facebook")</f>
        <v>Facebook</v>
      </c>
      <c r="AW29" s="61" t="str">
        <f>IFERROR(__xludf.DUMMYFUNCTION("""COMPUTED_VALUE"""),"Philosophy, Media and Diplomacy in International Relations")</f>
        <v>Philosophy, Media and Diplomacy in International Relations</v>
      </c>
      <c r="AX29" s="66" t="str">
        <f>IFERROR(__xludf.DUMMYFUNCTION("""COMPUTED_VALUE"""),"Yes")</f>
        <v>Yes</v>
      </c>
      <c r="AY29" s="66">
        <f>IFERROR(__xludf.DUMMYFUNCTION("""COMPUTED_VALUE"""),15.99)</f>
        <v>15.99</v>
      </c>
      <c r="AZ29" s="61"/>
      <c r="BA29" s="61"/>
      <c r="BB29" s="61"/>
      <c r="BC29" s="61"/>
      <c r="BD29" s="61"/>
      <c r="BE29" s="61"/>
      <c r="BF29" s="61"/>
      <c r="BG29" s="61"/>
      <c r="BH29" s="61"/>
      <c r="BI29" s="61"/>
      <c r="BJ29" s="61"/>
      <c r="BK29" s="61"/>
      <c r="BL29" s="61"/>
      <c r="BM29" s="61"/>
      <c r="BN29" s="61"/>
      <c r="BO29" s="61"/>
      <c r="BP29" s="61"/>
      <c r="BQ29" s="61"/>
      <c r="BR29" s="61"/>
    </row>
    <row r="30" ht="15.75" customHeight="1">
      <c r="A30" s="61" t="str">
        <f>IFERROR(__xludf.DUMMYFUNCTION("""COMPUTED_VALUE"""),"")</f>
        <v/>
      </c>
      <c r="B30" s="62">
        <f>IFERROR(__xludf.DUMMYFUNCTION("""COMPUTED_VALUE"""),41.0)</f>
        <v>41</v>
      </c>
      <c r="C30" s="61" t="str">
        <f>IFERROR(__xludf.DUMMYFUNCTION("""COMPUTED_VALUE"""),"Self")</f>
        <v>Self</v>
      </c>
      <c r="D30" s="63" t="str">
        <f>IFERROR(__xludf.DUMMYFUNCTION("""COMPUTED_VALUE"""),"Submitted")</f>
        <v>Submitted</v>
      </c>
      <c r="E30" s="63">
        <f>IFERROR(__xludf.DUMMYFUNCTION("""COMPUTED_VALUE"""),46189.35069444445)</f>
        <v>46189.35069</v>
      </c>
      <c r="F30" s="61" t="str">
        <f>IFERROR(__xludf.DUMMYFUNCTION("""COMPUTED_VALUE"""),"Vladyslava Shcherbyna")</f>
        <v>Vladyslava Shcherbyna</v>
      </c>
      <c r="G30" s="61" t="str">
        <f>IFERROR(__xludf.DUMMYFUNCTION("""COMPUTED_VALUE"""),"Vladyslava Shcherbyna")</f>
        <v>Vladyslava Shcherbyna</v>
      </c>
      <c r="H30" s="61" t="str">
        <f>IFERROR(__xludf.DUMMYFUNCTION("""COMPUTED_VALUE"""),"scherbinav07@gmail.com")</f>
        <v>scherbinav07@gmail.com</v>
      </c>
      <c r="I30" s="61" t="str">
        <f>IFERROR(__xludf.DUMMYFUNCTION("""COMPUTED_VALUE"""),"devyatkova@gmail.com")</f>
        <v>devyatkova@gmail.com</v>
      </c>
      <c r="J30" s="61" t="str">
        <f>IFERROR(__xludf.DUMMYFUNCTION("""COMPUTED_VALUE"""),"Manor Heights, blk A, flt1, Triq Charles Sciberras, St. Julians, Malta")</f>
        <v>Manor Heights, blk A, flt1, Triq Charles Sciberras, St. Julians, Malta</v>
      </c>
      <c r="K30" s="61" t="str">
        <f>IFERROR(__xludf.DUMMYFUNCTION("""COMPUTED_VALUE"""),"Ukrainian")</f>
        <v>Ukrainian</v>
      </c>
      <c r="L30" s="64" t="str">
        <f>IFERROR(__xludf.DUMMYFUNCTION("""COMPUTED_VALUE"""),"+35677518685")</f>
        <v>+35677518685</v>
      </c>
      <c r="M30" s="64">
        <f>IFERROR(__xludf.DUMMYFUNCTION("""COMPUTED_VALUE"""),39430.0)</f>
        <v>39430</v>
      </c>
      <c r="N30" s="61" t="str">
        <f>IFERROR(__xludf.DUMMYFUNCTION("""COMPUTED_VALUE"""),"GN239991")</f>
        <v>GN239991</v>
      </c>
      <c r="O30" s="61" t="str">
        <f>IFERROR(__xludf.DUMMYFUNCTION("""COMPUTED_VALUE"""),"Krystyna Devyatkova (Mother) -+35677518636")</f>
        <v>Krystyna Devyatkova (Mother) -+35677518636</v>
      </c>
      <c r="P30" s="65" t="str">
        <f>IFERROR(__xludf.DUMMYFUNCTION("""COMPUTED_VALUE"""),"https://www.linkedin.com/in/akkerushi/")</f>
        <v>https://www.linkedin.com/in/akkerushi/</v>
      </c>
      <c r="Q30" s="61"/>
      <c r="R30" s="65" t="str">
        <f>IFERROR(__xludf.DUMMYFUNCTION("""COMPUTED_VALUE"""),"https://www.facebook.com/akkerushi/")</f>
        <v>https://www.facebook.com/akkerushi/</v>
      </c>
      <c r="S30" s="61" t="str">
        <f>IFERROR(__xludf.DUMMYFUNCTION("""COMPUTED_VALUE"""),"Passport_Shcherbyna_Vlada.pdf")</f>
        <v>Passport_Shcherbyna_Vlada.pdf</v>
      </c>
      <c r="T30" s="61" t="str">
        <f>IFERROR(__xludf.DUMMYFUNCTION("""COMPUTED_VALUE"""),"IMG_20260607_174953.jpg")</f>
        <v>IMG_20260607_174953.jpg</v>
      </c>
      <c r="U30" s="61" t="str">
        <f>IFERROR(__xludf.DUMMYFUNCTION("""COMPUTED_VALUE"""),"Advanced Diploma in IT (Software Development)")</f>
        <v>Advanced Diploma in IT (Software Development)</v>
      </c>
      <c r="V30" s="61" t="str">
        <f>IFERROR(__xludf.DUMMYFUNCTION("""COMPUTED_VALUE"""),"MQF Level 4")</f>
        <v>MQF Level 4</v>
      </c>
      <c r="W30" s="61" t="str">
        <f>IFERROR(__xludf.DUMMYFUNCTION("""COMPUTED_VALUE"""),"Software Development")</f>
        <v>Software Development</v>
      </c>
      <c r="X30" s="61" t="str">
        <f>IFERROR(__xludf.DUMMYFUNCTION("""COMPUTED_VALUE"""),"Malta College of Arts, Science and Technology (MCAST)")</f>
        <v>Malta College of Arts, Science and Technology (MCAST)</v>
      </c>
      <c r="Y30" s="61" t="str">
        <f>IFERROR(__xludf.DUMMYFUNCTION("""COMPUTED_VALUE"""),"Yes")</f>
        <v>Yes</v>
      </c>
      <c r="Z30" s="61" t="str">
        <f>IFERROR(__xludf.DUMMYFUNCTION("""COMPUTED_VALUE"""),"Malta")</f>
        <v>Malta</v>
      </c>
      <c r="AA30" s="61" t="str">
        <f>IFERROR(__xludf.DUMMYFUNCTION("""COMPUTED_VALUE"""),"No")</f>
        <v>No</v>
      </c>
      <c r="AB30" s="61"/>
      <c r="AC30" s="61" t="str">
        <f>IFERROR(__xludf.DUMMYFUNCTION("""COMPUTED_VALUE"""),"Yes. I have participated in STEM and technology-related projects involving robotics, programming and artificial intelligence.")</f>
        <v>Yes. I have participated in STEM and technology-related projects involving robotics, programming and artificial intelligence.</v>
      </c>
      <c r="AD30" s="61" t="str">
        <f>IFERROR(__xludf.DUMMYFUNCTION("""COMPUTED_VALUE"""),"IEEE Malta and MCAST")</f>
        <v>IEEE Malta and MCAST</v>
      </c>
      <c r="AE30" s="65" t="str">
        <f>IFERROR(__xludf.DUMMYFUNCTION("""COMPUTED_VALUE"""),"https://ieeemalta.org")</f>
        <v>https://ieeemalta.org</v>
      </c>
      <c r="AF30" s="61" t="str">
        <f>IFERROR(__xludf.DUMMYFUNCTION("""COMPUTED_VALUE"""),"Volunteer and Event Support Assistant")</f>
        <v>Volunteer and Event Support Assistant</v>
      </c>
      <c r="AG30" s="61" t="str">
        <f>IFERROR(__xludf.DUMMYFUNCTION("""COMPUTED_VALUE"""),"2")</f>
        <v>2</v>
      </c>
      <c r="AH30" s="61" t="str">
        <f>IFERROR(__xludf.DUMMYFUNCTION("""COMPUTED_VALUE"""),"No")</f>
        <v>No</v>
      </c>
      <c r="AI30" s="61"/>
      <c r="AJ30" s="61" t="str">
        <f>IFERROR(__xludf.DUMMYFUNCTION("""COMPUTED_VALUE"""),"No")</f>
        <v>No</v>
      </c>
      <c r="AK30" s="61"/>
      <c r="AL30" s="61" t="str">
        <f>IFERROR(__xludf.DUMMYFUNCTION("""COMPUTED_VALUE"""),"Software Development, Robotics, Artificial Intelligence, Teamwork, Leadership, STEM Project Development, Public Speaking, Event Organization, Cross-Cultural Collaboration")</f>
        <v>Software Development, Robotics, Artificial Intelligence, Teamwork, Leadership, STEM Project Development, Public Speaking, Event Organization, Cross-Cultural Collaboration</v>
      </c>
      <c r="AM30" s="61" t="str">
        <f>IFERROR(__xludf.DUMMYFUNCTION("""COMPUTED_VALUE"""),"Vladyslava_Shcherbyna_CV_Malta.pdf")</f>
        <v>Vladyslava_Shcherbyna_CV_Malta.pdf</v>
      </c>
      <c r="AN30" s="61" t="str">
        <f>IFERROR(__xludf.DUMMYFUNCTION("""COMPUTED_VALUE"""),"Yes. When war forced me to leave Ukraine in 2022, I realized that waiting for the world to change on its own is not an option.
I believe changing the world begins with changing yourself - how you think, how you respond to challenges, and how you treat oth"&amp;"ers. Moving to Malta forced me to adapt to a new country, language, and education system. Instead of giving up, I chose to learn, grow, and contribute.
I founded and lead UCG Robotics, a student team that will represent Malta at the IEEE Global Robot Cham"&amp;"pionships 2026. I am also a member of Malta's female team preparing for the First Global Challenge. These are spaces where young people from different countries learn to cooperate, build trust, and solve problems together.
For me, changing the world start"&amp;"s where I already am: in a team of people from different countries, solving problems no one can solve alone.")</f>
        <v>Yes. When war forced me to leave Ukraine in 2022, I realized that waiting for the world to change on its own is not an option.
I believe changing the world begins with changing yourself - how you think, how you respond to challenges, and how you treat others. Moving to Malta forced me to adapt to a new country, language, and education system. Instead of giving up, I chose to learn, grow, and contribute.
I founded and lead UCG Robotics, a student team that will represent Malta at the IEEE Global Robot Championships 2026. I am also a member of Malta's female team preparing for the First Global Challenge. These are spaces where young people from different countries learn to cooperate, build trust, and solve problems together.
For me, changing the world starts where I already am: in a team of people from different countries, solving problems no one can solve alone.</v>
      </c>
      <c r="AO30" s="61" t="str">
        <f>IFERROR(__xludf.DUMMYFUNCTION("""COMPUTED_VALUE"""),"I believe Indonesia is one of the most diplomatically significant countries in the world. As the world's largest Muslim-majority democracy and a founding member of the Non-Aligned Movement, it has long served as a bridge between different regions, culture"&amp;"s, and political perspectives.
During its G20 presidency in 2022, Indonesia maintained dialogue with countries holding very different positions on major global issues, including the war in Ukraine, demonstrating that diplomacy is not only about choosing s"&amp;"ides but also about keeping communication open when it matters most.
In an increasingly divided world, this ability to build dialogue across differences is what makes Indonesia diplomatically significant.")</f>
        <v>I believe Indonesia is one of the most diplomatically significant countries in the world. As the world's largest Muslim-majority democracy and a founding member of the Non-Aligned Movement, it has long served as a bridge between different regions, cultures, and political perspectives.
During its G20 presidency in 2022, Indonesia maintained dialogue with countries holding very different positions on major global issues, including the war in Ukraine, demonstrating that diplomacy is not only about choosing sides but also about keeping communication open when it matters most.
In an increasingly divided world, this ability to build dialogue across differences is what makes Indonesia diplomatically significant.</v>
      </c>
      <c r="AP30" s="61" t="str">
        <f>IFERROR(__xludf.DUMMYFUNCTION("""COMPUTED_VALUE"""),"Public diplomacy is often described as a government's effort to communicate with foreign publics. But I believe its most powerful form happens outside official channels - through people who carry their own stories, cultures, and experiences across borders"&amp;".
Youth are not the future of diplomacy. We are already practicing it.
When I founded UCG Robotics and brought together students from different countries to build a team that will represent Malta at the IEEE Global Robot Championships 2026, we were not th"&amp;"inking about geopolitics. We are solving engineering problems together. And in doing so, we are building exactly what diplomacy requires: trust, communication, and the ability to work across differences.
I know this from two directions. As a Ukrainian liv"&amp;"ing in Malta, I am myself a bridge between cultures - I carry the perspective of someone who lost stability overnight and rebuilt it through cooperation with people who had no obligation to help, but chose to.
What youth bring to diplomacy is not experien"&amp;"ce in negotiation. It is something harder to teach: the willingness to start from trust rather than suspicion, and to see difference as a resource rather than a threat.
That is the kind of diplomacy I practice every day. YPDS would give me the opportunity"&amp;" to understand it more deeply, learn from other young leaders, and apply those lessons within the international STEM communities I am already helping to build.")</f>
        <v>Public diplomacy is often described as a government's effort to communicate with foreign publics. But I believe its most powerful form happens outside official channels - through people who carry their own stories, cultures, and experiences across borders.
Youth are not the future of diplomacy. We are already practicing it.
When I founded UCG Robotics and brought together students from different countries to build a team that will represent Malta at the IEEE Global Robot Championships 2026, we were not thinking about geopolitics. We are solving engineering problems together. And in doing so, we are building exactly what diplomacy requires: trust, communication, and the ability to work across differences.
I know this from two directions. As a Ukrainian living in Malta, I am myself a bridge between cultures - I carry the perspective of someone who lost stability overnight and rebuilt it through cooperation with people who had no obligation to help, but chose to.
What youth bring to diplomacy is not experience in negotiation. It is something harder to teach: the willingness to start from trust rather than suspicion, and to see difference as a resource rather than a threat.
That is the kind of diplomacy I practice every day. YPDS would give me the opportunity to understand it more deeply, learn from other young leaders, and apply those lessons within the international STEM communities I am already helping to build.</v>
      </c>
      <c r="AQ30" s="61" t="str">
        <f>IFERROR(__xludf.DUMMYFUNCTION("""COMPUTED_VALUE"""),"Most people treat curiosity and passion as separate things. I think they are two parts of the same engine — curiosity asks the question, passion refuses to stop until it finds the answer.
But passion is not just a feeling. It is what keeps you moving whe"&amp;"n the goal is far away, resources are limited, and results are not yet visible.
When war forced me to leave Ukraine and start over in Malta, passion did not make the obstacles disappear. It changed how I responded to them. Instead of focusing on what I ha"&amp;"d lost, I focused on what I could build - new skills, new connections, new opportunities, and eventually new goals.
That is how passion helps me achieve goals: not by making the path easier, but by making it impossible to stop walking it.
I have never wai"&amp;"ted to feel ready. I become ready by moving forward.")</f>
        <v>Most people treat curiosity and passion as separate things. I think they are two parts of the same engine — curiosity asks the question, passion refuses to stop until it finds the answer.
But passion is not just a feeling. It is what keeps you moving when the goal is far away, resources are limited, and results are not yet visible.
When war forced me to leave Ukraine and start over in Malta, passion did not make the obstacles disappear. It changed how I responded to them. Instead of focusing on what I had lost, I focused on what I could build - new skills, new connections, new opportunities, and eventually new goals.
That is how passion helps me achieve goals: not by making the path easier, but by making it impossible to stop walking it.
I have never waited to feel ready. I become ready by moving forward.</v>
      </c>
      <c r="AR30" s="61" t="str">
        <f>IFERROR(__xludf.DUMMYFUNCTION("""COMPUTED_VALUE"""),"Creativity, for me, is not about artistic talent. It is about seeing possibilities where others see limitations and being willing to build something that does not yet exist.
When I founded UCG Robotics, there was no established team, no ready-made structu"&amp;"re, and no guarantee that the idea would succeed. Creativity meant imagining what could be built and then finding a way to bring people together around that vision.
I believe the same principle applies to public diplomacy. The most effective diplomacy doe"&amp;"s not begin with speeches or formal agreements. It begins when people from different cultures work toward a shared goal and discover that cooperation is more productive than division.
That is why I see robotics, STEM competitions, and technology projects "&amp;"as powerful diplomatic platforms. Young people do not need to be taught how to communicate across cultures after the project is finished. The collaboration itself becomes the lesson.
Creativity allows us to design those opportunities. And when it works, t"&amp;"he diplomacy happens on its own.")</f>
        <v>Creativity, for me, is not about artistic talent. It is about seeing possibilities where others see limitations and being willing to build something that does not yet exist.
When I founded UCG Robotics, there was no established team, no ready-made structure, and no guarantee that the idea would succeed. Creativity meant imagining what could be built and then finding a way to bring people together around that vision.
I believe the same principle applies to public diplomacy. The most effective diplomacy does not begin with speeches or formal agreements. It begins when people from different cultures work toward a shared goal and discover that cooperation is more productive than division.
That is why I see robotics, STEM competitions, and technology projects as powerful diplomatic platforms. Young people do not need to be taught how to communicate across cultures after the project is finished. The collaboration itself becomes the lesson.
Creativity allows us to design those opportunities. And when it works, the diplomacy happens on its own.</v>
      </c>
      <c r="AS30" s="61" t="str">
        <f>IFERROR(__xludf.DUMMYFUNCTION("""COMPUTED_VALUE"""),"Yes")</f>
        <v>Yes</v>
      </c>
      <c r="AT30" s="61" t="str">
        <f>IFERROR(__xludf.DUMMYFUNCTION("""COMPUTED_VALUE"""),"Yes")</f>
        <v>Yes</v>
      </c>
      <c r="AU30" s="61" t="str">
        <f>IFERROR(__xludf.DUMMYFUNCTION("""COMPUTED_VALUE"""),"Strategy, Peace &amp; Cultural Diplomacy")</f>
        <v>Strategy, Peace &amp; Cultural Diplomacy</v>
      </c>
      <c r="AV30" s="61" t="str">
        <f>IFERROR(__xludf.DUMMYFUNCTION("""COMPUTED_VALUE"""),"Google search")</f>
        <v>Google search</v>
      </c>
      <c r="AW30" s="61" t="str">
        <f>IFERROR(__xludf.DUMMYFUNCTION("""COMPUTED_VALUE"""),"Public Diplomacy through Technology, Strategic Communication and Youth Leadership")</f>
        <v>Public Diplomacy through Technology, Strategic Communication and Youth Leadership</v>
      </c>
      <c r="AX30" s="66" t="str">
        <f>IFERROR(__xludf.DUMMYFUNCTION("""COMPUTED_VALUE"""),"Yes")</f>
        <v>Yes</v>
      </c>
      <c r="AY30" s="66">
        <f>IFERROR(__xludf.DUMMYFUNCTION("""COMPUTED_VALUE"""),15.99)</f>
        <v>15.99</v>
      </c>
      <c r="AZ30" s="61"/>
      <c r="BA30" s="61"/>
      <c r="BB30" s="61"/>
      <c r="BC30" s="61"/>
      <c r="BD30" s="61"/>
      <c r="BE30" s="61"/>
      <c r="BF30" s="61"/>
      <c r="BG30" s="61"/>
      <c r="BH30" s="61"/>
      <c r="BI30" s="61"/>
      <c r="BJ30" s="61"/>
      <c r="BK30" s="61"/>
      <c r="BL30" s="61"/>
      <c r="BM30" s="61"/>
      <c r="BN30" s="61"/>
      <c r="BO30" s="61"/>
      <c r="BP30" s="61"/>
      <c r="BQ30" s="61"/>
      <c r="BR30" s="61"/>
    </row>
    <row r="31" ht="15.75" customHeight="1">
      <c r="A31" s="61" t="str">
        <f>IFERROR(__xludf.DUMMYFUNCTION("""COMPUTED_VALUE"""),"")</f>
        <v/>
      </c>
      <c r="B31" s="62">
        <f>IFERROR(__xludf.DUMMYFUNCTION("""COMPUTED_VALUE"""),42.0)</f>
        <v>42</v>
      </c>
      <c r="C31" s="61" t="str">
        <f>IFERROR(__xludf.DUMMYFUNCTION("""COMPUTED_VALUE"""),"Self")</f>
        <v>Self</v>
      </c>
      <c r="D31" s="63" t="str">
        <f>IFERROR(__xludf.DUMMYFUNCTION("""COMPUTED_VALUE"""),"Submitted")</f>
        <v>Submitted</v>
      </c>
      <c r="E31" s="63">
        <f>IFERROR(__xludf.DUMMYFUNCTION("""COMPUTED_VALUE"""),46189.62847222222)</f>
        <v>46189.62847</v>
      </c>
      <c r="F31" s="61" t="str">
        <f>IFERROR(__xludf.DUMMYFUNCTION("""COMPUTED_VALUE"""),"Yuliia Sychinska")</f>
        <v>Yuliia Sychinska</v>
      </c>
      <c r="G31" s="61" t="str">
        <f>IFERROR(__xludf.DUMMYFUNCTION("""COMPUTED_VALUE"""),"Sychinska Yuliia")</f>
        <v>Sychinska Yuliia</v>
      </c>
      <c r="H31" s="61" t="str">
        <f>IFERROR(__xludf.DUMMYFUNCTION("""COMPUTED_VALUE"""),"sychinkaju@gmail.com")</f>
        <v>sychinkaju@gmail.com</v>
      </c>
      <c r="I31" s="61" t="str">
        <f>IFERROR(__xludf.DUMMYFUNCTION("""COMPUTED_VALUE"""),"sychinsska@gmail.com")</f>
        <v>sychinsska@gmail.com</v>
      </c>
      <c r="J31" s="61" t="str">
        <f>IFERROR(__xludf.DUMMYFUNCTION("""COMPUTED_VALUE"""),"Holosiivskyi avenue, Kyiv, Ukraine")</f>
        <v>Holosiivskyi avenue, Kyiv, Ukraine</v>
      </c>
      <c r="K31" s="61" t="str">
        <f>IFERROR(__xludf.DUMMYFUNCTION("""COMPUTED_VALUE"""),"Ukrainian")</f>
        <v>Ukrainian</v>
      </c>
      <c r="L31" s="64" t="str">
        <f>IFERROR(__xludf.DUMMYFUNCTION("""COMPUTED_VALUE"""),"+380667728957")</f>
        <v>+380667728957</v>
      </c>
      <c r="M31" s="64">
        <f>IFERROR(__xludf.DUMMYFUNCTION("""COMPUTED_VALUE"""),38869.0)</f>
        <v>38869</v>
      </c>
      <c r="N31" s="61" t="str">
        <f>IFERROR(__xludf.DUMMYFUNCTION("""COMPUTED_VALUE"""),"GD052873")</f>
        <v>GD052873</v>
      </c>
      <c r="O31" s="61" t="str">
        <f>IFERROR(__xludf.DUMMYFUNCTION("""COMPUTED_VALUE"""),"+380958434300")</f>
        <v>+380958434300</v>
      </c>
      <c r="P31" s="65" t="str">
        <f>IFERROR(__xludf.DUMMYFUNCTION("""COMPUTED_VALUE"""),"https://www.linkedin.com/in/yuliia-sychinska-758a1239a?utm_source=share&amp;utm_campaign=share_via&amp;utm_content=profile&amp;utm_medium=ios_app")</f>
        <v>https://www.linkedin.com/in/yuliia-sychinska-758a1239a?utm_source=share&amp;utm_campaign=share_via&amp;utm_content=profile&amp;utm_medium=ios_app</v>
      </c>
      <c r="Q31" s="65" t="str">
        <f>IFERROR(__xludf.DUMMYFUNCTION("""COMPUTED_VALUE"""),"https://www.instagram.com/sychinsska?igsh=Zm00aGQyNW8zM25l&amp;utm_source=qr")</f>
        <v>https://www.instagram.com/sychinsska?igsh=Zm00aGQyNW8zM25l&amp;utm_source=qr</v>
      </c>
      <c r="R31" s="65" t="str">
        <f>IFERROR(__xludf.DUMMYFUNCTION("""COMPUTED_VALUE"""),"https://www.facebook.com/share/14enQADQN3F/?mibextid=wwXIfr")</f>
        <v>https://www.facebook.com/share/14enQADQN3F/?mibextid=wwXIfr</v>
      </c>
      <c r="S31" s="61" t="str">
        <f>IFERROR(__xludf.DUMMYFUNCTION("""COMPUTED_VALUE"""),"IMG_7818.jpeg")</f>
        <v>IMG_7818.jpeg</v>
      </c>
      <c r="T31" s="61" t="str">
        <f>IFERROR(__xludf.DUMMYFUNCTION("""COMPUTED_VALUE"""),"IMG_5973.jpeg")</f>
        <v>IMG_5973.jpeg</v>
      </c>
      <c r="U31" s="61" t="str">
        <f>IFERROR(__xludf.DUMMYFUNCTION("""COMPUTED_VALUE"""),"Bachelor")</f>
        <v>Bachelor</v>
      </c>
      <c r="V31" s="61" t="str">
        <f>IFERROR(__xludf.DUMMYFUNCTION("""COMPUTED_VALUE"""),"Chemistry engineering and bioengineering")</f>
        <v>Chemistry engineering and bioengineering</v>
      </c>
      <c r="W31" s="61" t="str">
        <f>IFERROR(__xludf.DUMMYFUNCTION("""COMPUTED_VALUE"""),"Biotechnology and bioengineering")</f>
        <v>Biotechnology and bioengineering</v>
      </c>
      <c r="X31" s="61" t="str">
        <f>IFERROR(__xludf.DUMMYFUNCTION("""COMPUTED_VALUE"""),"Taras Shevchenko National University of Kyiv")</f>
        <v>Taras Shevchenko National University of Kyiv</v>
      </c>
      <c r="Y31" s="61" t="str">
        <f>IFERROR(__xludf.DUMMYFUNCTION("""COMPUTED_VALUE"""),"Yes")</f>
        <v>Yes</v>
      </c>
      <c r="Z31" s="61" t="str">
        <f>IFERROR(__xludf.DUMMYFUNCTION("""COMPUTED_VALUE"""),"Ukraine")</f>
        <v>Ukraine</v>
      </c>
      <c r="AA31" s="61" t="str">
        <f>IFERROR(__xludf.DUMMYFUNCTION("""COMPUTED_VALUE"""),"No")</f>
        <v>No</v>
      </c>
      <c r="AB31" s="61"/>
      <c r="AC31" s="61" t="str">
        <f>IFERROR(__xludf.DUMMYFUNCTION("""COMPUTED_VALUE"""),"Yes, i have been working as a biologist for 2 years")</f>
        <v>Yes, i have been working as a biologist for 2 years</v>
      </c>
      <c r="AD31" s="61" t="str">
        <f>IFERROR(__xludf.DUMMYFUNCTION("""COMPUTED_VALUE"""),"Only university programs")</f>
        <v>Only university programs</v>
      </c>
      <c r="AE31" s="61"/>
      <c r="AF31" s="61" t="str">
        <f>IFERROR(__xludf.DUMMYFUNCTION("""COMPUTED_VALUE"""),"Volunteer")</f>
        <v>Volunteer</v>
      </c>
      <c r="AG31" s="61"/>
      <c r="AH31" s="61" t="str">
        <f>IFERROR(__xludf.DUMMYFUNCTION("""COMPUTED_VALUE"""),"Yes")</f>
        <v>Yes</v>
      </c>
      <c r="AI31" s="61" t="str">
        <f>IFERROR(__xludf.DUMMYFUNCTION("""COMPUTED_VALUE"""),"Biologist")</f>
        <v>Biologist</v>
      </c>
      <c r="AJ31" s="61"/>
      <c r="AK31" s="61"/>
      <c r="AL31" s="61" t="str">
        <f>IFERROR(__xludf.DUMMYFUNCTION("""COMPUTED_VALUE"""),"Biologist, SMM, writer")</f>
        <v>Biologist, SMM, writer</v>
      </c>
      <c r="AM31" s="61" t="str">
        <f>IFERROR(__xludf.DUMMYFUNCTION("""COMPUTED_VALUE"""),"IMG_7820.jpeg")</f>
        <v>IMG_7820.jpeg</v>
      </c>
      <c r="AN31" s="61" t="str">
        <f>IFERROR(__xludf.DUMMYFUNCTION("""COMPUTED_VALUE"""),"Yes — and I think about it constantly. I want to work on problems that actually matter at an international level: access to education, global inequality, the decisions that shape how millions of people live. Biology gave me a way of thinking — systematic,"&amp;" evidence-based, curious — but I don't want to stay in one lane. I want to be in rooms where real decisions are made, where policies are built, where young people finally have a voice. Change isn't one field. It's what happens when you stop waiting for so"&amp;"meone else to fix things and start figuring out how to do it yourself.")</f>
        <v>Yes — and I think about it constantly. I want to work on problems that actually matter at an international level: access to education, global inequality, the decisions that shape how millions of people live. Biology gave me a way of thinking — systematic, evidence-based, curious — but I don't want to stay in one lane. I want to be in rooms where real decisions are made, where policies are built, where young people finally have a voice. Change isn't one field. It's what happens when you stop waiting for someone else to fix things and start figuring out how to do it yourself.</v>
      </c>
      <c r="AO31" s="61" t="str">
        <f>IFERROR(__xludf.DUMMYFUNCTION("""COMPUTED_VALUE"""),"Ukraine. Not because of size or history, but because of what happened after February 2022. Ukraine forced the entire world to take a position — on sovereignty, on international law, on what values actually mean when they're tested. That is diplomatic sign"&amp;"ificance in its rawest form. As a Ukrainian, I didn't learn this from textbooks. I lived it. I watched my country reshape alliances, redefine European security, and prove that a nation's will can outweigh its resources. Significance isn't always about pro"&amp;"jection of power. Sometimes it's about refusing to disappear — and making the world rethink everything it assumed was stable.")</f>
        <v>Ukraine. Not because of size or history, but because of what happened after February 2022. Ukraine forced the entire world to take a position — on sovereignty, on international law, on what values actually mean when they're tested. That is diplomatic significance in its rawest form. As a Ukrainian, I didn't learn this from textbooks. I lived it. I watched my country reshape alliances, redefine European security, and prove that a nation's will can outweigh its resources. Significance isn't always about projection of power. Sometimes it's about refusing to disappear — and making the world rethink everything it assumed was stable.</v>
      </c>
      <c r="AP31" s="61" t="str">
        <f>IFERROR(__xludf.DUMMYFUNCTION("""COMPUTED_VALUE"""),"Young people are not the future of diplomacy — we are already doing it. Every time someone shares a story that crosses a border, challenges a stereotype, or makes a stranger feel understood, that is public diplomacy. And young people do this instinctively"&amp;", every day.
Public diplomacy works through culture, conversation, and connection. It meets people where they are — and that's exactly where youth operates naturally. We don't wait for permission to have an opinion or start a dialogue. We just do it.
I re"&amp;"late to this personally. I create content — I take ideas and translate them into something people actually want to engage with. That process taught me that the way you communicate something matters as much as what you're communicating. Reaching someone's "&amp;"attention is a skill. Shifting someone's perspective is an art.
As a young Ukrainian, I also understand what it means when the world looks away — and what changes when it finally pays attention. That experience doesn't make me cynical. It makes me want to"&amp;" be in spaces where narratives are shaped and stories are told on our own terms")</f>
        <v>Young people are not the future of diplomacy — we are already doing it. Every time someone shares a story that crosses a border, challenges a stereotype, or makes a stranger feel understood, that is public diplomacy. And young people do this instinctively, every day.
Public diplomacy works through culture, conversation, and connection. It meets people where they are — and that's exactly where youth operates naturally. We don't wait for permission to have an opinion or start a dialogue. We just do it.
I relate to this personally. I create content — I take ideas and translate them into something people actually want to engage with. That process taught me that the way you communicate something matters as much as what you're communicating. Reaching someone's attention is a skill. Shifting someone's perspective is an art.
As a young Ukrainian, I also understand what it means when the world looks away — and what changes when it finally pays attention. That experience doesn't make me cynical. It makes me want to be in spaces where narratives are shaped and stories are told on our own terms</v>
      </c>
      <c r="AQ31" s="61" t="str">
        <f>IFERROR(__xludf.DUMMYFUNCTION("""COMPUTED_VALUE"""),"Passion is what you keep doing even when it's inconvenient. It's not excitement — it's consistency toward something that genuinely matters to you.
For me it shows up as this constant need to understand things and then do something with that understanding."&amp;" I studied biology, started making content, got interested in international issues — and none of that felt random. It all connects to the same core thing: I want to be useful at a big scale.
When I'm passionate about something, I don't need to force mysel"&amp;"f to work on it. I just do. That's the practical part — passion removes a lot of the friction that stops people from following through.
It also helps when things don't work out, because you're not doing it for the result only. You're doing it because you "&amp;"actually care. And that makes it easier to start over when you need to.")</f>
        <v>Passion is what you keep doing even when it's inconvenient. It's not excitement — it's consistency toward something that genuinely matters to you.
For me it shows up as this constant need to understand things and then do something with that understanding. I studied biology, started making content, got interested in international issues — and none of that felt random. It all connects to the same core thing: I want to be useful at a big scale.
When I'm passionate about something, I don't need to force myself to work on it. I just do. That's the practical part — passion removes a lot of the friction that stops people from following through.
It also helps when things don't work out, because you're not doing it for the result only. You're doing it because you actually care. And that makes it easier to start over when you need to.</v>
      </c>
      <c r="AR31" s="61" t="str">
        <f>IFERROR(__xludf.DUMMYFUNCTION("""COMPUTED_VALUE"""),"Yes. I've always been drawn to unusual combinations — studying biology while being obsessed with communication, wanting to work in international relations while coming from a science background. I never really fit into one category and I stopped trying to"&amp;".
I think that's what creativity actually is — not being able to help yourself from seeing things differently. I want to make things. Content, campaigns, conversations. Something that didn't exist before I showed up.
In public diplomacy that matters a lot"&amp;". You're trying to reach real people, not institutions. And real people don't respond to formal messaging — they respond to something that feels genuine and a little unexpected.
If I were building a public diplomacy strategy, I'd focus on storytelling tha"&amp;"t doesn't look like diplomacy on the surface. Content that makes someone curious about a country or an issue before they even realize that's what's happening. Social media does this naturally — you watch something because it's interesting, not because it'"&amp;"s important.
I already think this way when I create content. I want to apply it at a bigger scale — where the stories I help tell actually influence how people understand the world around them")</f>
        <v>Yes. I've always been drawn to unusual combinations — studying biology while being obsessed with communication, wanting to work in international relations while coming from a science background. I never really fit into one category and I stopped trying to.
I think that's what creativity actually is — not being able to help yourself from seeing things differently. I want to make things. Content, campaigns, conversations. Something that didn't exist before I showed up.
In public diplomacy that matters a lot. You're trying to reach real people, not institutions. And real people don't respond to formal messaging — they respond to something that feels genuine and a little unexpected.
If I were building a public diplomacy strategy, I'd focus on storytelling that doesn't look like diplomacy on the surface. Content that makes someone curious about a country or an issue before they even realize that's what's happening. Social media does this naturally — you watch something because it's interesting, not because it's important.
I already think this way when I create content. I want to apply it at a bigger scale — where the stories I help tell actually influence how people understand the world around them</v>
      </c>
      <c r="AS31" s="61" t="str">
        <f>IFERROR(__xludf.DUMMYFUNCTION("""COMPUTED_VALUE"""),"Yes")</f>
        <v>Yes</v>
      </c>
      <c r="AT31" s="61" t="str">
        <f>IFERROR(__xludf.DUMMYFUNCTION("""COMPUTED_VALUE"""),"Yes")</f>
        <v>Yes</v>
      </c>
      <c r="AU31" s="61" t="str">
        <f>IFERROR(__xludf.DUMMYFUNCTION("""COMPUTED_VALUE"""),"Philosophy, Media &amp; Diplomacy in International Relations")</f>
        <v>Philosophy, Media &amp; Diplomacy in International Relations</v>
      </c>
      <c r="AV31" s="61" t="str">
        <f>IFERROR(__xludf.DUMMYFUNCTION("""COMPUTED_VALUE"""),"Telegram channel")</f>
        <v>Telegram channel</v>
      </c>
      <c r="AW31" s="61" t="str">
        <f>IFERROR(__xludf.DUMMYFUNCTION("""COMPUTED_VALUE"""),"Soft, Smart, and Hard Power")</f>
        <v>Soft, Smart, and Hard Power</v>
      </c>
      <c r="AX31" s="66" t="str">
        <f>IFERROR(__xludf.DUMMYFUNCTION("""COMPUTED_VALUE"""),"Yes")</f>
        <v>Yes</v>
      </c>
      <c r="AY31" s="66">
        <f>IFERROR(__xludf.DUMMYFUNCTION("""COMPUTED_VALUE"""),15.99)</f>
        <v>15.99</v>
      </c>
      <c r="AZ31" s="61"/>
      <c r="BA31" s="61"/>
      <c r="BB31" s="61"/>
      <c r="BC31" s="61"/>
      <c r="BD31" s="61"/>
      <c r="BE31" s="61"/>
      <c r="BF31" s="61"/>
      <c r="BG31" s="61"/>
      <c r="BH31" s="61"/>
      <c r="BI31" s="61"/>
      <c r="BJ31" s="61"/>
      <c r="BK31" s="61"/>
      <c r="BL31" s="61"/>
      <c r="BM31" s="61"/>
      <c r="BN31" s="61"/>
      <c r="BO31" s="61"/>
      <c r="BP31" s="61"/>
      <c r="BQ31" s="61"/>
      <c r="BR31" s="61"/>
    </row>
    <row r="32" ht="15.75" customHeight="1">
      <c r="A32" s="61" t="str">
        <f>IFERROR(__xludf.DUMMYFUNCTION("""COMPUTED_VALUE"""),"Full")</f>
        <v>Full</v>
      </c>
      <c r="B32" s="62">
        <f>IFERROR(__xludf.DUMMYFUNCTION("""COMPUTED_VALUE"""),43.0)</f>
        <v>43</v>
      </c>
      <c r="C32" s="61" t="str">
        <f>IFERROR(__xludf.DUMMYFUNCTION("""COMPUTED_VALUE"""),"Full")</f>
        <v>Full</v>
      </c>
      <c r="D32" s="63" t="str">
        <f>IFERROR(__xludf.DUMMYFUNCTION("""COMPUTED_VALUE"""),"Submitted")</f>
        <v>Submitted</v>
      </c>
      <c r="E32" s="63">
        <f>IFERROR(__xludf.DUMMYFUNCTION("""COMPUTED_VALUE"""),46189.72361111111)</f>
        <v>46189.72361</v>
      </c>
      <c r="F32" s="61" t="str">
        <f>IFERROR(__xludf.DUMMYFUNCTION("""COMPUTED_VALUE"""),"Ayuanda Sekar Melati")</f>
        <v>Ayuanda Sekar Melati</v>
      </c>
      <c r="G32" s="61" t="str">
        <f>IFERROR(__xludf.DUMMYFUNCTION("""COMPUTED_VALUE"""),"Ayuanda Sekar Melati")</f>
        <v>Ayuanda Sekar Melati</v>
      </c>
      <c r="H32" s="61" t="str">
        <f>IFERROR(__xludf.DUMMYFUNCTION("""COMPUTED_VALUE"""),"amel.susanta@gmail.com")</f>
        <v>amel.susanta@gmail.com</v>
      </c>
      <c r="I32" s="61" t="str">
        <f>IFERROR(__xludf.DUMMYFUNCTION("""COMPUTED_VALUE"""),"melayuanda23@gmail.com")</f>
        <v>melayuanda23@gmail.com</v>
      </c>
      <c r="J32" s="61" t="str">
        <f>IFERROR(__xludf.DUMMYFUNCTION("""COMPUTED_VALUE"""),"Reitemakersrijge 13, Groningen, Netherlands")</f>
        <v>Reitemakersrijge 13, Groningen, Netherlands</v>
      </c>
      <c r="K32" s="61" t="str">
        <f>IFERROR(__xludf.DUMMYFUNCTION("""COMPUTED_VALUE"""),"Indonesian")</f>
        <v>Indonesian</v>
      </c>
      <c r="L32" s="64" t="str">
        <f>IFERROR(__xludf.DUMMYFUNCTION("""COMPUTED_VALUE"""),"+31642953523")</f>
        <v>+31642953523</v>
      </c>
      <c r="M32" s="64">
        <f>IFERROR(__xludf.DUMMYFUNCTION("""COMPUTED_VALUE"""),36639.0)</f>
        <v>36639</v>
      </c>
      <c r="N32" s="61" t="str">
        <f>IFERROR(__xludf.DUMMYFUNCTION("""COMPUTED_VALUE"""),"X2527471")</f>
        <v>X2527471</v>
      </c>
      <c r="O32" s="61" t="str">
        <f>IFERROR(__xludf.DUMMYFUNCTION("""COMPUTED_VALUE"""),"+628118118113")</f>
        <v>+628118118113</v>
      </c>
      <c r="P32" s="65" t="str">
        <f>IFERROR(__xludf.DUMMYFUNCTION("""COMPUTED_VALUE"""),"https://nl.linkedin.com/in/ayuandasekarmelati")</f>
        <v>https://nl.linkedin.com/in/ayuandasekarmelati</v>
      </c>
      <c r="Q32" s="61"/>
      <c r="R32" s="61"/>
      <c r="S32" s="61" t="str">
        <f>IFERROR(__xludf.DUMMYFUNCTION("""COMPUTED_VALUE"""),"Passport - Ayuanda Sekar Melati.pdf")</f>
        <v>Passport - Ayuanda Sekar Melati.pdf</v>
      </c>
      <c r="T32" s="61" t="str">
        <f>IFERROR(__xludf.DUMMYFUNCTION("""COMPUTED_VALUE"""),"foto amel.jpg")</f>
        <v>foto amel.jpg</v>
      </c>
      <c r="U32" s="61" t="str">
        <f>IFERROR(__xludf.DUMMYFUNCTION("""COMPUTED_VALUE"""),"Masters")</f>
        <v>Masters</v>
      </c>
      <c r="V32" s="61" t="str">
        <f>IFERROR(__xludf.DUMMYFUNCTION("""COMPUTED_VALUE"""),"MSc International Relations &amp; International Organizations")</f>
        <v>MSc International Relations &amp; International Organizations</v>
      </c>
      <c r="W32" s="61" t="str">
        <f>IFERROR(__xludf.DUMMYFUNCTION("""COMPUTED_VALUE"""),"International Relations &amp; International Organizations")</f>
        <v>International Relations &amp; International Organizations</v>
      </c>
      <c r="X32" s="61" t="str">
        <f>IFERROR(__xludf.DUMMYFUNCTION("""COMPUTED_VALUE"""),"University of Groningen")</f>
        <v>University of Groningen</v>
      </c>
      <c r="Y32" s="61" t="str">
        <f>IFERROR(__xludf.DUMMYFUNCTION("""COMPUTED_VALUE"""),"Yes")</f>
        <v>Yes</v>
      </c>
      <c r="Z32" s="61" t="str">
        <f>IFERROR(__xludf.DUMMYFUNCTION("""COMPUTED_VALUE"""),"Netherlands")</f>
        <v>Netherlands</v>
      </c>
      <c r="AA32" s="61" t="str">
        <f>IFERROR(__xludf.DUMMYFUNCTION("""COMPUTED_VALUE"""),"No")</f>
        <v>No</v>
      </c>
      <c r="AB32" s="61"/>
      <c r="AC32" s="61" t="str">
        <f>IFERROR(__xludf.DUMMYFUNCTION("""COMPUTED_VALUE"""),"Yes. As an MSc International Relations student, I am actively engaged in academic research including literature review, policy analysis, and thesis work. I also lead academic studies as Head of Strategic Studies at PPI Groningen, where I coordinate resear"&amp;"ch-based discussions on socio-political and international issues.")</f>
        <v>Yes. As an MSc International Relations student, I am actively engaged in academic research including literature review, policy analysis, and thesis work. I also lead academic studies as Head of Strategic Studies at PPI Groningen, where I coordinate research-based discussions on socio-political and international issues.</v>
      </c>
      <c r="AD32" s="61" t="str">
        <f>IFERROR(__xludf.DUMMYFUNCTION("""COMPUTED_VALUE"""),"Yes. Youth in Sustainability – Roundtable on Sustainable Palm Oil (RSPO)")</f>
        <v>Yes. Youth in Sustainability – Roundtable on Sustainable Palm Oil (RSPO)</v>
      </c>
      <c r="AE32" s="65" t="str">
        <f>IFERROR(__xludf.DUMMYFUNCTION("""COMPUTED_VALUE"""),"https://www.instagram.com/yis.indonesia/?hl=en")</f>
        <v>https://www.instagram.com/yis.indonesia/?hl=en</v>
      </c>
      <c r="AF32" s="61" t="str">
        <f>IFERROR(__xludf.DUMMYFUNCTION("""COMPUTED_VALUE"""),"Communication Officer")</f>
        <v>Communication Officer</v>
      </c>
      <c r="AG32" s="61" t="str">
        <f>IFERROR(__xludf.DUMMYFUNCTION("""COMPUTED_VALUE"""),"1")</f>
        <v>1</v>
      </c>
      <c r="AH32" s="61" t="str">
        <f>IFERROR(__xludf.DUMMYFUNCTION("""COMPUTED_VALUE"""),"No")</f>
        <v>No</v>
      </c>
      <c r="AI32" s="61"/>
      <c r="AJ32" s="61" t="str">
        <f>IFERROR(__xludf.DUMMYFUNCTION("""COMPUTED_VALUE"""),"No")</f>
        <v>No</v>
      </c>
      <c r="AK32" s="61"/>
      <c r="AL32" s="61" t="str">
        <f>IFERROR(__xludf.DUMMYFUNCTION("""COMPUTED_VALUE"""),"Public Diplomacy &amp; Strategic Communications, Cross-border Stakeholder Coordination, Partnership Development, Cultural Engagement, Multi-stakeholder Negotiation, Policy-oriented Research, Project Coordination")</f>
        <v>Public Diplomacy &amp; Strategic Communications, Cross-border Stakeholder Coordination, Partnership Development, Cultural Engagement, Multi-stakeholder Negotiation, Policy-oriented Research, Project Coordination</v>
      </c>
      <c r="AM32" s="61" t="str">
        <f>IFERROR(__xludf.DUMMYFUNCTION("""COMPUTED_VALUE"""),"Ayuanda SMS_CV_YPDS.pdf")</f>
        <v>Ayuanda SMS_CV_YPDS.pdf</v>
      </c>
      <c r="AN32" s="61" t="str">
        <f>IFERROR(__xludf.DUMMYFUNCTION("""COMPUTED_VALUE"""),"Yes, though I have learned that change rarely comes from grand gestures, it comes from connection. In my work bridging Singapore businesses with Indonesian partners, I kept noticing the same pattern: real human potential blocked by gaps between systems. R"&amp;"ather than waiting for institutions to act, I took initiative helping connect vocational schools with education partners, linking talent to opportunities across borders, and supporting inclusive programmes for those often left out. During the pandemic, I "&amp;"also helped coordinate vaccination access for around 20,000 retail workers. To me, changing the world means noticing where systems fail people, and quietly doing the work to reconnect them.")</f>
        <v>Yes, though I have learned that change rarely comes from grand gestures, it comes from connection. In my work bridging Singapore businesses with Indonesian partners, I kept noticing the same pattern: real human potential blocked by gaps between systems. Rather than waiting for institutions to act, I took initiative helping connect vocational schools with education partners, linking talent to opportunities across borders, and supporting inclusive programmes for those often left out. During the pandemic, I also helped coordinate vaccination access for around 20,000 retail workers. To me, changing the world means noticing where systems fail people, and quietly doing the work to reconnect them.</v>
      </c>
      <c r="AO32" s="61" t="str">
        <f>IFERROR(__xludf.DUMMYFUNCTION("""COMPUTED_VALUE"""),"Indonesia. As Southeast Asia's largest economy and the de facto anchor of ASEAN, Indonesia holds a unique diplomatic position non-aligned, bridging major powers while championing the Global South. Its ""free and active"" foreign policy lets it engage both"&amp;" East and West without being captured by either. With the world's fourth-largest population, a strategic location along vital maritime routes, and growing influence in climate and economic forums, Indonesia is increasingly central to global stability. As "&amp;"an Indonesian, I see my country not as a passive participant but as an emerging bridge-builder in an increasingly multipolar world.")</f>
        <v>Indonesia. As Southeast Asia's largest economy and the de facto anchor of ASEAN, Indonesia holds a unique diplomatic position non-aligned, bridging major powers while championing the Global South. Its "free and active" foreign policy lets it engage both East and West without being captured by either. With the world's fourth-largest population, a strategic location along vital maritime routes, and growing influence in climate and economic forums, Indonesia is increasingly central to global stability. As an Indonesian, I see my country not as a passive participant but as an emerging bridge-builder in an increasingly multipolar world.</v>
      </c>
      <c r="AP32" s="61" t="str">
        <f>IFERROR(__xludf.DUMMYFUNCTION("""COMPUTED_VALUE"""),"Youth are not just the future of diplomacy, they are often its most authentic face today. Traditional diplomacy happens between governments, but public diplomacy happens between people, and young people are uniquely placed to build the cross-cultural trus"&amp;"t that formal channels cannot. We connect naturally across border through education, social media, and shared challenges like climate change often before politics enters the room.
I relate to public diplomacy because it describes the kind of work I am dra"&amp;"wn to and have touched throughout my career, even without the formal title. At Singapore Business Federation, I helped connect Indonesian students with international education and cultural exchange supporting Mandarin language and scholarship pathways to "&amp;"China, and linking students to internships in Singapore through a 10,000-member education network. These are exactly the people-to-people bridges that public diplomacy is built on. Studying now in the Netherlands, I continue to work at that human layer of"&amp;" cooperation, where relationships matter more than protocols.
To me, youth in public diplomacy means being a translator not just of languages, but of contexts  helping ideas travel across cultures without losing meaning. It is about representing your coun"&amp;"try authentically while staying genuinely open to others. That is the role I hope to grow into, and why YPDS speaks to me.")</f>
        <v>Youth are not just the future of diplomacy, they are often its most authentic face today. Traditional diplomacy happens between governments, but public diplomacy happens between people, and young people are uniquely placed to build the cross-cultural trust that formal channels cannot. We connect naturally across border through education, social media, and shared challenges like climate change often before politics enters the room.
I relate to public diplomacy because it describes the kind of work I am drawn to and have touched throughout my career, even without the formal title. At Singapore Business Federation, I helped connect Indonesian students with international education and cultural exchange supporting Mandarin language and scholarship pathways to China, and linking students to internships in Singapore through a 10,000-member education network. These are exactly the people-to-people bridges that public diplomacy is built on. Studying now in the Netherlands, I continue to work at that human layer of cooperation, where relationships matter more than protocols.
To me, youth in public diplomacy means being a translator not just of languages, but of contexts  helping ideas travel across cultures without losing meaning. It is about representing your country authentically while staying genuinely open to others. That is the role I hope to grow into, and why YPDS speaks to me.</v>
      </c>
      <c r="AQ32" s="61" t="str">
        <f>IFERROR(__xludf.DUMMYFUNCTION("""COMPUTED_VALUE"""),"Passion, to me, is quiet persistence, the willingness to keep working on something long after the initial excitement fades. It is not loud or dramatic; it is the patience to do the unglamorous coordination work, the follow-up, the bridge-building that mos"&amp;"t people overlook. Throughout my career, my passion has been connecting people and potential across borders, and that steady drive is what turned small observations into real initiatives.
Passion helps me reach my goals because it sustains me through obst"&amp;"acles. When a cross-border programme stalled because of regulatory barriers, it was passion, not obligation  that kept me searching for solutions. It gives me patience for slow progress and resilience when things fail. Most importantly, it makes my work f"&amp;"eel meaningful rather than transactional, and that meaning is what lets me keep showing up, keep learning, and keep building toward something larger than myself.")</f>
        <v>Passion, to me, is quiet persistence, the willingness to keep working on something long after the initial excitement fades. It is not loud or dramatic; it is the patience to do the unglamorous coordination work, the follow-up, the bridge-building that most people overlook. Throughout my career, my passion has been connecting people and potential across borders, and that steady drive is what turned small observations into real initiatives.
Passion helps me reach my goals because it sustains me through obstacles. When a cross-border programme stalled because of regulatory barriers, it was passion, not obligation  that kept me searching for solutions. It gives me patience for slow progress and resilience when things fail. Most importantly, it makes my work feel meaningful rather than transactional, and that meaning is what lets me keep showing up, keep learning, and keep building toward something larger than myself.</v>
      </c>
      <c r="AR32" s="61" t="str">
        <f>IFERROR(__xludf.DUMMYFUNCTION("""COMPUTED_VALUE"""),"Yes, though perhaps not in the conventional sense. My creativity lies in seeing connections others miss looking at two unrelated parties and recognizing how they might solve each other's problems. In strategic communications, I learned that creativity is "&amp;"less about artistic flair and more about reframing: taking something complex and making it understandable, relatable, and actionable for different audiences.
This translates directly into public diplomacy. Its central challenge is that the same message la"&amp;"nds differently depending on context  what resonates in Singapore may not land the same way in Jakarta or Amsterdam. My creative strength is adapting how ideas are communicated so they stay authentic yet locally meaningful.
An effective public diplomacy s"&amp;"trategy, in my view, moves beyond formal statements toward storytelling and genuine human connection using real stories of cross-border collaboration to build empathy, designing youth-to-youth exchanges that create lasting relationships, and framing share"&amp;"d challenges in ways that invite participation rather than passive listening. Creativity in diplomacy means making people feel something, not just understand something. Having spent years translating ideas across cultural contexts, I believe this human-ce"&amp;"ntered, adaptive creativity is exactly what modern public diplomacy needs.")</f>
        <v>Yes, though perhaps not in the conventional sense. My creativity lies in seeing connections others miss looking at two unrelated parties and recognizing how they might solve each other's problems. In strategic communications, I learned that creativity is less about artistic flair and more about reframing: taking something complex and making it understandable, relatable, and actionable for different audiences.
This translates directly into public diplomacy. Its central challenge is that the same message lands differently depending on context  what resonates in Singapore may not land the same way in Jakarta or Amsterdam. My creative strength is adapting how ideas are communicated so they stay authentic yet locally meaningful.
An effective public diplomacy strategy, in my view, moves beyond formal statements toward storytelling and genuine human connection using real stories of cross-border collaboration to build empathy, designing youth-to-youth exchanges that create lasting relationships, and framing shared challenges in ways that invite participation rather than passive listening. Creativity in diplomacy means making people feel something, not just understand something. Having spent years translating ideas across cultural contexts, I believe this human-centered, adaptive creativity is exactly what modern public diplomacy needs.</v>
      </c>
      <c r="AS32" s="61" t="str">
        <f>IFERROR(__xludf.DUMMYFUNCTION("""COMPUTED_VALUE"""),"Yes")</f>
        <v>Yes</v>
      </c>
      <c r="AT32" s="61" t="str">
        <f>IFERROR(__xludf.DUMMYFUNCTION("""COMPUTED_VALUE"""),"Yes")</f>
        <v>Yes</v>
      </c>
      <c r="AU32" s="61" t="str">
        <f>IFERROR(__xludf.DUMMYFUNCTION("""COMPUTED_VALUE"""),"Global Politics, Diplomacy &amp; Identities")</f>
        <v>Global Politics, Diplomacy &amp; Identities</v>
      </c>
      <c r="AV32" s="61" t="str">
        <f>IFERROR(__xludf.DUMMYFUNCTION("""COMPUTED_VALUE"""),"Social Media")</f>
        <v>Social Media</v>
      </c>
      <c r="AW32" s="61" t="str">
        <f>IFERROR(__xludf.DUMMYFUNCTION("""COMPUTED_VALUE"""),"Public Diplomacy in the 21st Century")</f>
        <v>Public Diplomacy in the 21st Century</v>
      </c>
      <c r="AX32" s="66" t="str">
        <f>IFERROR(__xludf.DUMMYFUNCTION("""COMPUTED_VALUE"""),"Yes")</f>
        <v>Yes</v>
      </c>
      <c r="AY32" s="66">
        <f>IFERROR(__xludf.DUMMYFUNCTION("""COMPUTED_VALUE"""),15.99)</f>
        <v>15.99</v>
      </c>
      <c r="AZ32" s="61"/>
      <c r="BA32" s="61"/>
      <c r="BB32" s="61"/>
      <c r="BC32" s="61"/>
      <c r="BD32" s="61"/>
      <c r="BE32" s="61"/>
      <c r="BF32" s="61"/>
      <c r="BG32" s="61"/>
      <c r="BH32" s="61"/>
      <c r="BI32" s="61"/>
      <c r="BJ32" s="61"/>
      <c r="BK32" s="61"/>
      <c r="BL32" s="61"/>
      <c r="BM32" s="61"/>
      <c r="BN32" s="61"/>
      <c r="BO32" s="61"/>
      <c r="BP32" s="61"/>
      <c r="BQ32" s="61"/>
      <c r="BR32" s="61"/>
    </row>
    <row r="33" ht="15.75" customHeight="1">
      <c r="A33" s="61" t="str">
        <f>IFERROR(__xludf.DUMMYFUNCTION("""COMPUTED_VALUE"""),"Self")</f>
        <v>Self</v>
      </c>
      <c r="B33" s="62">
        <f>IFERROR(__xludf.DUMMYFUNCTION("""COMPUTED_VALUE"""),44.0)</f>
        <v>44</v>
      </c>
      <c r="C33" s="61" t="str">
        <f>IFERROR(__xludf.DUMMYFUNCTION("""COMPUTED_VALUE"""),"Self")</f>
        <v>Self</v>
      </c>
      <c r="D33" s="63" t="str">
        <f>IFERROR(__xludf.DUMMYFUNCTION("""COMPUTED_VALUE"""),"Submitted")</f>
        <v>Submitted</v>
      </c>
      <c r="E33" s="63">
        <f>IFERROR(__xludf.DUMMYFUNCTION("""COMPUTED_VALUE"""),46189.75902777778)</f>
        <v>46189.75903</v>
      </c>
      <c r="F33" s="61" t="str">
        <f>IFERROR(__xludf.DUMMYFUNCTION("""COMPUTED_VALUE"""),"Tafadzwa Mufamba")</f>
        <v>Tafadzwa Mufamba</v>
      </c>
      <c r="G33" s="61" t="str">
        <f>IFERROR(__xludf.DUMMYFUNCTION("""COMPUTED_VALUE"""),"Tafadzwa Mufamba")</f>
        <v>Tafadzwa Mufamba</v>
      </c>
      <c r="H33" s="61" t="str">
        <f>IFERROR(__xludf.DUMMYFUNCTION("""COMPUTED_VALUE"""),"tmufamba45@gmail.com")</f>
        <v>tmufamba45@gmail.com</v>
      </c>
      <c r="I33" s="61" t="str">
        <f>IFERROR(__xludf.DUMMYFUNCTION("""COMPUTED_VALUE"""),"tafadzwamufamba45@gmail.com")</f>
        <v>tafadzwamufamba45@gmail.com</v>
      </c>
      <c r="J33" s="61" t="str">
        <f>IFERROR(__xludf.DUMMYFUNCTION("""COMPUTED_VALUE"""),"148 Domboshava Road Philadelphia, Borrowdale, Harare, Cnr Rottenrow and Samora Machel Ave, Harare, Zimbabwe")</f>
        <v>148 Domboshava Road Philadelphia, Borrowdale, Harare, Cnr Rottenrow and Samora Machel Ave, Harare, Zimbabwe</v>
      </c>
      <c r="K33" s="61" t="str">
        <f>IFERROR(__xludf.DUMMYFUNCTION("""COMPUTED_VALUE"""),"Zimbabwean")</f>
        <v>Zimbabwean</v>
      </c>
      <c r="L33" s="64" t="str">
        <f>IFERROR(__xludf.DUMMYFUNCTION("""COMPUTED_VALUE"""),"+263773836366")</f>
        <v>+263773836366</v>
      </c>
      <c r="M33" s="64">
        <f>IFERROR(__xludf.DUMMYFUNCTION("""COMPUTED_VALUE"""),36317.0)</f>
        <v>36317</v>
      </c>
      <c r="N33" s="61" t="str">
        <f>IFERROR(__xludf.DUMMYFUNCTION("""COMPUTED_VALUE"""),"GN170470")</f>
        <v>GN170470</v>
      </c>
      <c r="O33" s="61" t="str">
        <f>IFERROR(__xludf.DUMMYFUNCTION("""COMPUTED_VALUE"""),"(024) 2774168")</f>
        <v>(024) 2774168</v>
      </c>
      <c r="P33" s="61"/>
      <c r="Q33" s="65" t="str">
        <f>IFERROR(__xludf.DUMMYFUNCTION("""COMPUTED_VALUE"""),"https://www.instagram.com/invites/contact/?utm_source=ig_contact_invite&amp;utm_medium=copy_link&amp;utm_content=7ibo3ue")</f>
        <v>https://www.instagram.com/invites/contact/?utm_source=ig_contact_invite&amp;utm_medium=copy_link&amp;utm_content=7ibo3ue</v>
      </c>
      <c r="R33" s="65" t="str">
        <f>IFERROR(__xludf.DUMMYFUNCTION("""COMPUTED_VALUE"""),"https://www.fb.com/l/6lp1kJRRR")</f>
        <v>https://www.fb.com/l/6lp1kJRRR</v>
      </c>
      <c r="S33" s="61" t="str">
        <f>IFERROR(__xludf.DUMMYFUNCTION("""COMPUTED_VALUE"""),"Passport for Tafadzwa Mufamba(1).jpg")</f>
        <v>Passport for Tafadzwa Mufamba(1).jpg</v>
      </c>
      <c r="T33" s="61" t="str">
        <f>IFERROR(__xludf.DUMMYFUNCTION("""COMPUTED_VALUE"""),"1757969541134.jpg")</f>
        <v>1757969541134.jpg</v>
      </c>
      <c r="U33" s="61" t="str">
        <f>IFERROR(__xludf.DUMMYFUNCTION("""COMPUTED_VALUE"""),"Bachelors")</f>
        <v>Bachelors</v>
      </c>
      <c r="V33" s="61" t="str">
        <f>IFERROR(__xludf.DUMMYFUNCTION("""COMPUTED_VALUE"""),"Peace and Security Studies")</f>
        <v>Peace and Security Studies</v>
      </c>
      <c r="W33" s="61" t="str">
        <f>IFERROR(__xludf.DUMMYFUNCTION("""COMPUTED_VALUE"""),"Diplomacy, peace and security")</f>
        <v>Diplomacy, peace and security</v>
      </c>
      <c r="X33" s="61" t="str">
        <f>IFERROR(__xludf.DUMMYFUNCTION("""COMPUTED_VALUE"""),"Midlands State University")</f>
        <v>Midlands State University</v>
      </c>
      <c r="Y33" s="61" t="str">
        <f>IFERROR(__xludf.DUMMYFUNCTION("""COMPUTED_VALUE"""),"No")</f>
        <v>No</v>
      </c>
      <c r="Z33" s="61" t="str">
        <f>IFERROR(__xludf.DUMMYFUNCTION("""COMPUTED_VALUE"""),"Zimbabwe")</f>
        <v>Zimbabwe</v>
      </c>
      <c r="AA33" s="61" t="str">
        <f>IFERROR(__xludf.DUMMYFUNCTION("""COMPUTED_VALUE"""),"Yes")</f>
        <v>Yes</v>
      </c>
      <c r="AB33" s="61" t="str">
        <f>IFERROR(__xludf.DUMMYFUNCTION("""COMPUTED_VALUE"""),"Mwalimu Julius Nyerere leadeeship School")</f>
        <v>Mwalimu Julius Nyerere leadeeship School</v>
      </c>
      <c r="AC33" s="61" t="str">
        <f>IFERROR(__xludf.DUMMYFUNCTION("""COMPUTED_VALUE"""),"Yes")</f>
        <v>Yes</v>
      </c>
      <c r="AD33" s="61" t="str">
        <f>IFERROR(__xludf.DUMMYFUNCTION("""COMPUTED_VALUE"""),"Yes")</f>
        <v>Yes</v>
      </c>
      <c r="AE33" s="65" t="str">
        <f>IFERROR(__xludf.DUMMYFUNCTION("""COMPUTED_VALUE"""),"https://www.govserv.org/ZW/Harare/211695518699564/Zimbabwe-Youth-Council")</f>
        <v>https://www.govserv.org/ZW/Harare/211695518699564/Zimbabwe-Youth-Council</v>
      </c>
      <c r="AF33" s="61" t="str">
        <f>IFERROR(__xludf.DUMMYFUNCTION("""COMPUTED_VALUE"""),"Leader of an Association")</f>
        <v>Leader of an Association</v>
      </c>
      <c r="AG33" s="61" t="str">
        <f>IFERROR(__xludf.DUMMYFUNCTION("""COMPUTED_VALUE"""),"7")</f>
        <v>7</v>
      </c>
      <c r="AH33" s="61" t="str">
        <f>IFERROR(__xludf.DUMMYFUNCTION("""COMPUTED_VALUE"""),"Yes")</f>
        <v>Yes</v>
      </c>
      <c r="AI33" s="61" t="str">
        <f>IFERROR(__xludf.DUMMYFUNCTION("""COMPUTED_VALUE"""),"Senior Programmes Officer at ZANU PF Headquarters")</f>
        <v>Senior Programmes Officer at ZANU PF Headquarters</v>
      </c>
      <c r="AJ33" s="61" t="str">
        <f>IFERROR(__xludf.DUMMYFUNCTION("""COMPUTED_VALUE"""),"Yes")</f>
        <v>Yes</v>
      </c>
      <c r="AK33" s="61" t="str">
        <f>IFERROR(__xludf.DUMMYFUNCTION("""COMPUTED_VALUE"""),"To fight against Drugs and Substance Abuse")</f>
        <v>To fight against Drugs and Substance Abuse</v>
      </c>
      <c r="AL33" s="61" t="str">
        <f>IFERROR(__xludf.DUMMYFUNCTION("""COMPUTED_VALUE"""),"Programme Management, Policy research and Analysis, Conflict Management, Stakeholder Engagement, Evaluation,Strategic Planning, Report writing Projects management, Advocacy at ZANU PF HQ")</f>
        <v>Programme Management, Policy research and Analysis, Conflict Management, Stakeholder Engagement, Evaluation,Strategic Planning, Report writing Projects management, Advocacy at ZANU PF HQ</v>
      </c>
      <c r="AM33" s="61" t="str">
        <f>IFERROR(__xludf.DUMMYFUNCTION("""COMPUTED_VALUE"""),"CV for Tafadzwa Mufamba.pdf")</f>
        <v>CV for Tafadzwa Mufamba.pdf</v>
      </c>
      <c r="AN33" s="61" t="str">
        <f>IFERROR(__xludf.DUMMYFUNCTION("""COMPUTED_VALUE"""),"True. Meaningful change, in my opinion, starts with personal action and helping others. I have devoted my personal time to community involvement, youth mobilisation, and leadership development. I have inspired young people to pursue education and have ass"&amp;"isted through my position at work within the ruling Part's Headquarters more than 1000 youth to find scholarships (50 alone this year), i have inteoduced the Youth Parliamentary Model, which i copied from a demo which i copied from Kenya, entrepreneurship"&amp;", and active role in national development through my involvement in youth structures.  I created mechanisms which made the government to provide 25 Million US Dollars to empower the youth through a proposal that i procured through the Ministry of Youth, i"&amp;" also have founded an organisation against Drugs and substance abuse. I have assisted more than 100 youth to secure jobs and attachments. Using my academic experience in Peace and Security Studies, I have also contributed to conversations on peace, securi"&amp;"ty, and international cooperation. I aim to have a positive influence and improve society by encouraging constructive discourse, mentoring peers, and supporting programs that empower youth.")</f>
        <v>True. Meaningful change, in my opinion, starts with personal action and helping others. I have devoted my personal time to community involvement, youth mobilisation, and leadership development. I have inspired young people to pursue education and have assisted through my position at work within the ruling Part's Headquarters more than 1000 youth to find scholarships (50 alone this year), i have inteoduced the Youth Parliamentary Model, which i copied from a demo which i copied from Kenya, entrepreneurship, and active role in national development through my involvement in youth structures.  I created mechanisms which made the government to provide 25 Million US Dollars to empower the youth through a proposal that i procured through the Ministry of Youth, i also have founded an organisation against Drugs and substance abuse. I have assisted more than 100 youth to secure jobs and attachments. Using my academic experience in Peace and Security Studies, I have also contributed to conversations on peace, security, and international cooperation. I aim to have a positive influence and improve society by encouraging constructive discourse, mentoring peers, and supporting programs that empower youth.</v>
      </c>
      <c r="AO33" s="61" t="str">
        <f>IFERROR(__xludf.DUMMYFUNCTION("""COMPUTED_VALUE"""),"Though i used to think United States of America was the most diplomatically significant country in the world, because of the current demographical politics i believe China and Indonesia would be the best so far. China holds the biggest economy in the Worl"&amp;"d as we speak and has been extending its realtions to Africa, Asia and Australia among others, and also Indonesia is best especially for Zimbabwe since it holds one of the best education systems and is giving a number of youths that i know scholarships an"&amp;"d also its not a violent country.")</f>
        <v>Though i used to think United States of America was the most diplomatically significant country in the world, because of the current demographical politics i believe China and Indonesia would be the best so far. China holds the biggest economy in the World as we speak and has been extending its realtions to Africa, Asia and Australia among others, and also Indonesia is best especially for Zimbabwe since it holds one of the best education systems and is giving a number of youths that i know scholarships and also its not a violent country.</v>
      </c>
      <c r="AP33" s="61" t="str">
        <f>IFERROR(__xludf.DUMMYFUNCTION("""COMPUTED_VALUE"""),"Youths are essentially influential actors in Public Diplomacy, because the facilitate for international bilaterial relations, cultural exhanges, intellectual exchange programs  with unique perspectives and aims to build relationships, promote mutual under"&amp;"standing, and include their voices in decision-making processes. As a Programs Officer at an Institution that deals with the public i have Participated in a Public fora in South Africa where countries from Africa converged and discuss sharing ideas and so"&amp;"lutions to African problems. My participation also in Tanzania and China thrice made me understand the digital role of youth in diplomatic engagements, political friends and economic diplomacy. My trip to Mozambique and Zambia gave tolerance understanding"&amp;" how intertwined culturally our countries are and the need for continuous coperation among other things")</f>
        <v>Youths are essentially influential actors in Public Diplomacy, because the facilitate for international bilaterial relations, cultural exhanges, intellectual exchange programs  with unique perspectives and aims to build relationships, promote mutual understanding, and include their voices in decision-making processes. As a Programs Officer at an Institution that deals with the public i have Participated in a Public fora in South Africa where countries from Africa converged and discuss sharing ideas and solutions to African problems. My participation also in Tanzania and China thrice made me understand the digital role of youth in diplomatic engagements, political friends and economic diplomacy. My trip to Mozambique and Zambia gave tolerance understanding how intertwined culturally our countries are and the need for continuous coperation among other things</v>
      </c>
      <c r="AQ33" s="61" t="str">
        <f>IFERROR(__xludf.DUMMYFUNCTION("""COMPUTED_VALUE"""),"Passion is an extreme interest or wish for doing something. When i grew up. I always had the passion to be a political diplomat. During my ordinary level period i joined the debate club and because i had the passion to be a political person i joined the J"&amp;"unior Parliament. I continued with debate becuse that would actually make me achieve it till i went to university where i took peaxe and security studies which falls under diplomacy and international relations. I also joined student politics and later i w"&amp;"as taken by the ruling party to work as a project and programs officer at the Party's Hq till date. So i feel like by maintaining passion. I became the best version of the person whom i wanted to be")</f>
        <v>Passion is an extreme interest or wish for doing something. When i grew up. I always had the passion to be a political diplomat. During my ordinary level period i joined the debate club and because i had the passion to be a political person i joined the Junior Parliament. I continued with debate becuse that would actually make me achieve it till i went to university where i took peaxe and security studies which falls under diplomacy and international relations. I also joined student politics and later i was taken by the ruling party to work as a project and programs officer at the Party's Hq till date. So i feel like by maintaining passion. I became the best version of the person whom i wanted to be</v>
      </c>
      <c r="AR33" s="61" t="str">
        <f>IFERROR(__xludf.DUMMYFUNCTION("""COMPUTED_VALUE"""),"I am a creative person. I have also writen books and i am a poet too. I can use my creativeness to facilitate dkr effective public diplacy through writing poems that unites nations, writing articles selling our culture, seeking duos with foreigners to enh"&amp;"ance nation to nation engagements. I can also create international social digital platforms which will enhance public participation, tolerance and appreciation of culture and beliefs.")</f>
        <v>I am a creative person. I have also writen books and i am a poet too. I can use my creativeness to facilitate dkr effective public diplacy through writing poems that unites nations, writing articles selling our culture, seeking duos with foreigners to enhance nation to nation engagements. I can also create international social digital platforms which will enhance public participation, tolerance and appreciation of culture and beliefs.</v>
      </c>
      <c r="AS33" s="61" t="str">
        <f>IFERROR(__xludf.DUMMYFUNCTION("""COMPUTED_VALUE"""),"Yes")</f>
        <v>Yes</v>
      </c>
      <c r="AT33" s="61" t="str">
        <f>IFERROR(__xludf.DUMMYFUNCTION("""COMPUTED_VALUE"""),"Yes")</f>
        <v>Yes</v>
      </c>
      <c r="AU33" s="61" t="str">
        <f>IFERROR(__xludf.DUMMYFUNCTION("""COMPUTED_VALUE"""),"Global Politics, Diplomacy &amp; Identities")</f>
        <v>Global Politics, Diplomacy &amp; Identities</v>
      </c>
      <c r="AV33" s="61" t="str">
        <f>IFERROR(__xludf.DUMMYFUNCTION("""COMPUTED_VALUE"""),"Scholarship Portal")</f>
        <v>Scholarship Portal</v>
      </c>
      <c r="AW33" s="61" t="str">
        <f>IFERROR(__xludf.DUMMYFUNCTION("""COMPUTED_VALUE"""),"Diplomacy")</f>
        <v>Diplomacy</v>
      </c>
      <c r="AX33" s="66" t="str">
        <f>IFERROR(__xludf.DUMMYFUNCTION("""COMPUTED_VALUE"""),"Yes")</f>
        <v>Yes</v>
      </c>
      <c r="AY33" s="66">
        <f>IFERROR(__xludf.DUMMYFUNCTION("""COMPUTED_VALUE"""),15.99)</f>
        <v>15.99</v>
      </c>
      <c r="AZ33" s="61"/>
      <c r="BA33" s="61"/>
      <c r="BB33" s="61"/>
      <c r="BC33" s="61"/>
      <c r="BD33" s="61"/>
      <c r="BE33" s="61"/>
      <c r="BF33" s="61"/>
      <c r="BG33" s="61"/>
      <c r="BH33" s="61"/>
      <c r="BI33" s="61"/>
      <c r="BJ33" s="61"/>
      <c r="BK33" s="61"/>
      <c r="BL33" s="61"/>
      <c r="BM33" s="61"/>
      <c r="BN33" s="61"/>
      <c r="BO33" s="61"/>
      <c r="BP33" s="61"/>
      <c r="BQ33" s="61"/>
      <c r="BR33" s="61"/>
    </row>
    <row r="34" ht="15.75" customHeight="1">
      <c r="A34" s="61" t="str">
        <f>IFERROR(__xludf.DUMMYFUNCTION("""COMPUTED_VALUE"""),"Partial")</f>
        <v>Partial</v>
      </c>
      <c r="B34" s="62">
        <f>IFERROR(__xludf.DUMMYFUNCTION("""COMPUTED_VALUE"""),46.0)</f>
        <v>46</v>
      </c>
      <c r="C34" s="61" t="str">
        <f>IFERROR(__xludf.DUMMYFUNCTION("""COMPUTED_VALUE"""),"Partial")</f>
        <v>Partial</v>
      </c>
      <c r="D34" s="63" t="str">
        <f>IFERROR(__xludf.DUMMYFUNCTION("""COMPUTED_VALUE"""),"Submitted")</f>
        <v>Submitted</v>
      </c>
      <c r="E34" s="63">
        <f>IFERROR(__xludf.DUMMYFUNCTION("""COMPUTED_VALUE"""),46190.0125)</f>
        <v>46190.0125</v>
      </c>
      <c r="F34" s="61" t="str">
        <f>IFERROR(__xludf.DUMMYFUNCTION("""COMPUTED_VALUE"""),"Tanvir Hossain")</f>
        <v>Tanvir Hossain</v>
      </c>
      <c r="G34" s="61" t="str">
        <f>IFERROR(__xludf.DUMMYFUNCTION("""COMPUTED_VALUE"""),"Tanvir Hossain")</f>
        <v>Tanvir Hossain</v>
      </c>
      <c r="H34" s="61" t="str">
        <f>IFERROR(__xludf.DUMMYFUNCTION("""COMPUTED_VALUE"""),"tanvirah34@gmail.com")</f>
        <v>tanvirah34@gmail.com</v>
      </c>
      <c r="I34" s="61" t="str">
        <f>IFERROR(__xludf.DUMMYFUNCTION("""COMPUTED_VALUE"""),"tanvirah3450@gmail.com")</f>
        <v>tanvirah3450@gmail.com</v>
      </c>
      <c r="J34" s="61" t="str">
        <f>IFERROR(__xludf.DUMMYFUNCTION("""COMPUTED_VALUE"""),"SAINT PETERSBURG HIGHWAY 109 C15, 628B, St. Petersburg, Russian Federation")</f>
        <v>SAINT PETERSBURG HIGHWAY 109 C15, 628B, St. Petersburg, Russian Federation</v>
      </c>
      <c r="K34" s="61" t="str">
        <f>IFERROR(__xludf.DUMMYFUNCTION("""COMPUTED_VALUE"""),"BANGLADESHI")</f>
        <v>BANGLADESHI</v>
      </c>
      <c r="L34" s="64" t="str">
        <f>IFERROR(__xludf.DUMMYFUNCTION("""COMPUTED_VALUE"""),"+79890482240")</f>
        <v>+79890482240</v>
      </c>
      <c r="M34" s="64">
        <f>IFERROR(__xludf.DUMMYFUNCTION("""COMPUTED_VALUE"""),37969.0)</f>
        <v>37969</v>
      </c>
      <c r="N34" s="61" t="str">
        <f>IFERROR(__xludf.DUMMYFUNCTION("""COMPUTED_VALUE"""),"A09447221")</f>
        <v>A09447221</v>
      </c>
      <c r="O34" s="61" t="str">
        <f>IFERROR(__xludf.DUMMYFUNCTION("""COMPUTED_VALUE"""),"+8801771577072")</f>
        <v>+8801771577072</v>
      </c>
      <c r="P34" s="61"/>
      <c r="Q34" s="61"/>
      <c r="R34" s="65" t="str">
        <f>IFERROR(__xludf.DUMMYFUNCTION("""COMPUTED_VALUE"""),"https://www.facebook.com/tanvir0997/")</f>
        <v>https://www.facebook.com/tanvir0997/</v>
      </c>
      <c r="S34" s="61" t="str">
        <f>IFERROR(__xludf.DUMMYFUNCTION("""COMPUTED_VALUE"""),"T_passport (2).pdf")</f>
        <v>T_passport (2).pdf</v>
      </c>
      <c r="T34" s="61" t="str">
        <f>IFERROR(__xludf.DUMMYFUNCTION("""COMPUTED_VALUE"""),"Photo.jpg")</f>
        <v>Photo.jpg</v>
      </c>
      <c r="U34" s="61" t="str">
        <f>IFERROR(__xludf.DUMMYFUNCTION("""COMPUTED_VALUE"""),"BACHELOR")</f>
        <v>BACHELOR</v>
      </c>
      <c r="V34" s="61" t="str">
        <f>IFERROR(__xludf.DUMMYFUNCTION("""COMPUTED_VALUE"""),"BACHELOR")</f>
        <v>BACHELOR</v>
      </c>
      <c r="W34" s="61" t="str">
        <f>IFERROR(__xludf.DUMMYFUNCTION("""COMPUTED_VALUE"""),"INTERNATIONAL MANAGEMENT")</f>
        <v>INTERNATIONAL MANAGEMENT</v>
      </c>
      <c r="X34" s="61" t="str">
        <f>IFERROR(__xludf.DUMMYFUNCTION("""COMPUTED_VALUE"""),"SAINT PETERSBURG STATE UNIVERSITY")</f>
        <v>SAINT PETERSBURG STATE UNIVERSITY</v>
      </c>
      <c r="Y34" s="61" t="str">
        <f>IFERROR(__xludf.DUMMYFUNCTION("""COMPUTED_VALUE"""),"No")</f>
        <v>No</v>
      </c>
      <c r="Z34" s="61"/>
      <c r="AA34" s="61" t="str">
        <f>IFERROR(__xludf.DUMMYFUNCTION("""COMPUTED_VALUE"""),"No")</f>
        <v>No</v>
      </c>
      <c r="AB34" s="61"/>
      <c r="AC34" s="61"/>
      <c r="AD34" s="61" t="str">
        <f>IFERROR(__xludf.DUMMYFUNCTION("""COMPUTED_VALUE"""),"NO")</f>
        <v>NO</v>
      </c>
      <c r="AE34" s="61"/>
      <c r="AF34" s="61"/>
      <c r="AG34" s="61"/>
      <c r="AH34" s="61" t="str">
        <f>IFERROR(__xludf.DUMMYFUNCTION("""COMPUTED_VALUE"""),"No")</f>
        <v>No</v>
      </c>
      <c r="AI34" s="61"/>
      <c r="AJ34" s="61"/>
      <c r="AK34" s="61"/>
      <c r="AL34" s="61"/>
      <c r="AM34" s="61" t="str">
        <f>IFERROR(__xludf.DUMMYFUNCTION("""COMPUTED_VALUE"""),"Tanvir's CV English .pdf")</f>
        <v>Tanvir's CV English .pdf</v>
      </c>
      <c r="AN34" s="61" t="str">
        <f>IFERROR(__xludf.DUMMYFUNCTION("""COMPUTED_VALUE"""),"Yes, changing the world has always inspired me. As a second-year International Management student at Saint Petersburg State University, I channel this ambition through academic dedication and active intellectual engagement. I participate in university dis"&amp;"cussions on global economic trends, collaborate with peers on cross-cultural projects, and consistently seek to understand how management and diplomacy intersect in shaping international systems. While my journey is still early, I approach every lecture, "&amp;"group project, and international interaction as an opportunity to build the competencies needed to create meaningful impact. I believe equipping myself with the right knowledge today is my most powerful act of change.")</f>
        <v>Yes, changing the world has always inspired me. As a second-year International Management student at Saint Petersburg State University, I channel this ambition through academic dedication and active intellectual engagement. I participate in university discussions on global economic trends, collaborate with peers on cross-cultural projects, and consistently seek to understand how management and diplomacy intersect in shaping international systems. While my journey is still early, I approach every lecture, group project, and international interaction as an opportunity to build the competencies needed to create meaningful impact. I believe equipping myself with the right knowledge today is my most powerful act of change.</v>
      </c>
      <c r="AO34" s="61" t="str">
        <f>IFERROR(__xludf.DUMMYFUNCTION("""COMPUTED_VALUE"""),"From my perspective as an International Management student, the United States remains the most diplomatically significant country due to its unmatched global alliances, permanent UN Security Council membership, and economic influence. However, China's gro"&amp;"wing assertiveness through the Belt and Road Initiative is fundamentally reshaping global diplomacy. Studying international management has taught me that economic leverage and diplomatic power are deeply intertwined and no rivalry illustrates this better "&amp;"than the US-China dynamic. Their bilateral relationship dictates global trade, technological governance, and regional security. Understanding this relationship is essential for any young professional aspiring to contribute to international affairs.")</f>
        <v>From my perspective as an International Management student, the United States remains the most diplomatically significant country due to its unmatched global alliances, permanent UN Security Council membership, and economic influence. However, China's growing assertiveness through the Belt and Road Initiative is fundamentally reshaping global diplomacy. Studying international management has taught me that economic leverage and diplomatic power are deeply intertwined and no rivalry illustrates this better than the US-China dynamic. Their bilateral relationship dictates global trade, technological governance, and regional security. Understanding this relationship is essential for any young professional aspiring to contribute to international affairs.</v>
      </c>
      <c r="AP34" s="61" t="str">
        <f>IFERROR(__xludf.DUMMYFUNCTION("""COMPUTED_VALUE"""),"outh represent diplomacy's most dynamic force. We bring digital literacy, cultural openness, and an urgency shaped by the very challenges climate change, inequality, geopolitical instability that previous generations left unresolved. Young people today en"&amp;"gage across borders naturally, through technology, education, and intercultural friendships, making us informal yet powerful diplomatic actors.
As a student of International Management at Saint Petersburg State University, I experience public diplomacy "&amp;"firsthand. Studying alongside peers from diverse backgrounds has taught me that genuine understanding between peoples is built through daily human interaction, not just governmental agreements. My academic environment situated in a historically rich, inte"&amp;"rnationally significant city constantly reminds me that culture, history, and identity shape how nations relate to one another.
I relate deeply to Public Diplomacy because I believe in the power of people-to-people connection. My studies in internationa"&amp;"l management have shown me how business, culture, and politics are inseparable in today's world. Every cross-cultural conversation I engage in, every international case study I analyze, strengthens my conviction that young people must actively participate"&amp;" in building mutual understanding. We are not waiting to inherit the diplomatic stage we are already on it.")</f>
        <v>outh represent diplomacy's most dynamic force. We bring digital literacy, cultural openness, and an urgency shaped by the very challenges climate change, inequality, geopolitical instability that previous generations left unresolved. Young people today engage across borders naturally, through technology, education, and intercultural friendships, making us informal yet powerful diplomatic actors.
As a student of International Management at Saint Petersburg State University, I experience public diplomacy firsthand. Studying alongside peers from diverse backgrounds has taught me that genuine understanding between peoples is built through daily human interaction, not just governmental agreements. My academic environment situated in a historically rich, internationally significant city constantly reminds me that culture, history, and identity shape how nations relate to one another.
I relate deeply to Public Diplomacy because I believe in the power of people-to-people connection. My studies in international management have shown me how business, culture, and politics are inseparable in today's world. Every cross-cultural conversation I engage in, every international case study I analyze, strengthens my conviction that young people must actively participate in building mutual understanding. We are not waiting to inherit the diplomatic stage we are already on it.</v>
      </c>
      <c r="AQ34" s="61" t="str">
        <f>IFERROR(__xludf.DUMMYFUNCTION("""COMPUTED_VALUE"""),"Passion is the quiet but relentless force that keeps you pursuing a purpose even when progress feels slow. It is not fleeting excitement it is a deep commitment rooted in genuine curiosity and personal vision. My passion lies at the intersection of intern"&amp;"ational relations, management, and cultural diplomacy.
This passion directly fuels my academic journey at Saint Petersburg State University. It motivates me to go beyond required coursework, exploring how global management principles apply to diplomatic "&amp;"challenges. When university life becomes demanding, my passion for understanding the world's complexities keeps me focused and resilient. It helps me see every assignment, every international discussion, and every new perspective from a classmate as a ste"&amp;"pping stone toward my larger goal becoming a professional who bridges cultures and contributes to constructive international dialogue. Passion, for me, is what turns a student into a future changemaker.")</f>
        <v>Passion is the quiet but relentless force that keeps you pursuing a purpose even when progress feels slow. It is not fleeting excitement it is a deep commitment rooted in genuine curiosity and personal vision. My passion lies at the intersection of international relations, management, and cultural diplomacy.
This passion directly fuels my academic journey at Saint Petersburg State University. It motivates me to go beyond required coursework, exploring how global management principles apply to diplomatic challenges. When university life becomes demanding, my passion for understanding the world's complexities keeps me focused and resilient. It helps me see every assignment, every international discussion, and every new perspective from a classmate as a stepping stone toward my larger goal becoming a professional who bridges cultures and contributes to constructive international dialogue. Passion, for me, is what turns a student into a future changemaker.</v>
      </c>
      <c r="AR34" s="61" t="str">
        <f>IFERROR(__xludf.DUMMYFUNCTION("""COMPUTED_VALUE"""),"Yes, I consider myself a creative thinker, particularly in how I approach complex international problems. Creativity for me is not limited to art it is the ability to connect ideas across disciplines and design solutions that are both innovative and cultu"&amp;"rally sensitive. My studies in International Management constantly challenge me to think creatively about global systems, strategies, and human behavior.
In public diplomacy, creativity is essential. Formal diplomatic channels alone cannot build genuine "&amp;"trust between peoples — that requires imagination. I would channel my creativity into designing people-centered diplomacy initiatives: cross-cultural storytelling projects, youth dialogue platforms, and digital campaigns that present nations through the l"&amp;"ens of shared human values rather than political differences.
Drawing from my management education, I would also apply creative strategic thinking to diplomacy — treating cultural exchange like a well-designed campaign with clear goals, target audiences,"&amp;" and measurable impact. For instance, using student networks across universities to create peer-to-peer international dialogue programs could build grassroots diplomatic relationships far more authentically than top-down initiatives. Creativity, combined "&amp;"with strategic discipline from my academic background, is how I intend to make public diplomacy more inclusive, relatable, and genuinely effective.")</f>
        <v>Yes, I consider myself a creative thinker, particularly in how I approach complex international problems. Creativity for me is not limited to art it is the ability to connect ideas across disciplines and design solutions that are both innovative and culturally sensitive. My studies in International Management constantly challenge me to think creatively about global systems, strategies, and human behavior.
In public diplomacy, creativity is essential. Formal diplomatic channels alone cannot build genuine trust between peoples — that requires imagination. I would channel my creativity into designing people-centered diplomacy initiatives: cross-cultural storytelling projects, youth dialogue platforms, and digital campaigns that present nations through the lens of shared human values rather than political differences.
Drawing from my management education, I would also apply creative strategic thinking to diplomacy — treating cultural exchange like a well-designed campaign with clear goals, target audiences, and measurable impact. For instance, using student networks across universities to create peer-to-peer international dialogue programs could build grassroots diplomatic relationships far more authentically than top-down initiatives. Creativity, combined with strategic discipline from my academic background, is how I intend to make public diplomacy more inclusive, relatable, and genuinely effective.</v>
      </c>
      <c r="AS34" s="61" t="str">
        <f>IFERROR(__xludf.DUMMYFUNCTION("""COMPUTED_VALUE"""),"Yes")</f>
        <v>Yes</v>
      </c>
      <c r="AT34" s="61" t="str">
        <f>IFERROR(__xludf.DUMMYFUNCTION("""COMPUTED_VALUE"""),"Yes")</f>
        <v>Yes</v>
      </c>
      <c r="AU34" s="61" t="str">
        <f>IFERROR(__xludf.DUMMYFUNCTION("""COMPUTED_VALUE"""),"Global Politics, Diplomacy &amp; Identities")</f>
        <v>Global Politics, Diplomacy &amp; Identities</v>
      </c>
      <c r="AV34" s="61" t="str">
        <f>IFERROR(__xludf.DUMMYFUNCTION("""COMPUTED_VALUE"""),"EMAIL")</f>
        <v>EMAIL</v>
      </c>
      <c r="AW34" s="61"/>
      <c r="AX34" s="66" t="str">
        <f>IFERROR(__xludf.DUMMYFUNCTION("""COMPUTED_VALUE"""),"Yes")</f>
        <v>Yes</v>
      </c>
      <c r="AY34" s="66">
        <f>IFERROR(__xludf.DUMMYFUNCTION("""COMPUTED_VALUE"""),15.99)</f>
        <v>15.99</v>
      </c>
      <c r="AZ34" s="61"/>
      <c r="BA34" s="61"/>
      <c r="BB34" s="61"/>
      <c r="BC34" s="61"/>
      <c r="BD34" s="61"/>
      <c r="BE34" s="61"/>
      <c r="BF34" s="61"/>
      <c r="BG34" s="61"/>
      <c r="BH34" s="61"/>
      <c r="BI34" s="61"/>
      <c r="BJ34" s="61"/>
      <c r="BK34" s="61"/>
      <c r="BL34" s="61"/>
      <c r="BM34" s="61"/>
      <c r="BN34" s="61"/>
      <c r="BO34" s="61"/>
      <c r="BP34" s="61"/>
      <c r="BQ34" s="61"/>
      <c r="BR34" s="61"/>
    </row>
    <row r="35" ht="15.75" customHeight="1">
      <c r="A35" s="61" t="str">
        <f>IFERROR(__xludf.DUMMYFUNCTION("""COMPUTED_VALUE"""),"")</f>
        <v/>
      </c>
      <c r="B35" s="62">
        <f>IFERROR(__xludf.DUMMYFUNCTION("""COMPUTED_VALUE"""),48.0)</f>
        <v>48</v>
      </c>
      <c r="C35" s="61" t="str">
        <f>IFERROR(__xludf.DUMMYFUNCTION("""COMPUTED_VALUE"""),"Self")</f>
        <v>Self</v>
      </c>
      <c r="D35" s="63" t="str">
        <f>IFERROR(__xludf.DUMMYFUNCTION("""COMPUTED_VALUE"""),"Submitted")</f>
        <v>Submitted</v>
      </c>
      <c r="E35" s="63">
        <f>IFERROR(__xludf.DUMMYFUNCTION("""COMPUTED_VALUE"""),46190.7)</f>
        <v>46190.7</v>
      </c>
      <c r="F35" s="61" t="str">
        <f>IFERROR(__xludf.DUMMYFUNCTION("""COMPUTED_VALUE"""),"Satyam Sharma")</f>
        <v>Satyam Sharma</v>
      </c>
      <c r="G35" s="61" t="str">
        <f>IFERROR(__xludf.DUMMYFUNCTION("""COMPUTED_VALUE"""),"Satyam Sharma")</f>
        <v>Satyam Sharma</v>
      </c>
      <c r="H35" s="61" t="str">
        <f>IFERROR(__xludf.DUMMYFUNCTION("""COMPUTED_VALUE"""),"satyamhihtan@gmail.com")</f>
        <v>satyamhihtan@gmail.com</v>
      </c>
      <c r="I35" s="61" t="str">
        <f>IFERROR(__xludf.DUMMYFUNCTION("""COMPUTED_VALUE"""),"satyamhihtan@gmail.com")</f>
        <v>satyamhihtan@gmail.com</v>
      </c>
      <c r="J35" s="61" t="str">
        <f>IFERROR(__xludf.DUMMYFUNCTION("""COMPUTED_VALUE"""),"Sadar Bazar, Jhansi, Nigeria")</f>
        <v>Sadar Bazar, Jhansi, Nigeria</v>
      </c>
      <c r="K35" s="61" t="str">
        <f>IFERROR(__xludf.DUMMYFUNCTION("""COMPUTED_VALUE"""),"Indian")</f>
        <v>Indian</v>
      </c>
      <c r="L35" s="64" t="str">
        <f>IFERROR(__xludf.DUMMYFUNCTION("""COMPUTED_VALUE"""),"+918957959326")</f>
        <v>+918957959326</v>
      </c>
      <c r="M35" s="64">
        <f>IFERROR(__xludf.DUMMYFUNCTION("""COMPUTED_VALUE"""),34203.0)</f>
        <v>34203</v>
      </c>
      <c r="N35" s="61" t="str">
        <f>IFERROR(__xludf.DUMMYFUNCTION("""COMPUTED_VALUE"""),"S3598028")</f>
        <v>S3598028</v>
      </c>
      <c r="O35" s="61" t="str">
        <f>IFERROR(__xludf.DUMMYFUNCTION("""COMPUTED_VALUE"""),"+918957959326")</f>
        <v>+918957959326</v>
      </c>
      <c r="P35" s="67" t="str">
        <f>IFERROR(__xludf.DUMMYFUNCTION("""COMPUTED_VALUE"""),"https://www.linkedin.com/in/itssdsharma/")</f>
        <v>https://www.linkedin.com/in/itssdsharma/</v>
      </c>
      <c r="Q35" s="61"/>
      <c r="R35" s="61"/>
      <c r="S35" s="61" t="str">
        <f>IFERROR(__xludf.DUMMYFUNCTION("""COMPUTED_VALUE"""),"Passport Satyam Sharma (1).pdf")</f>
        <v>Passport Satyam Sharma (1).pdf</v>
      </c>
      <c r="T35" s="61" t="str">
        <f>IFERROR(__xludf.DUMMYFUNCTION("""COMPUTED_VALUE"""),"1773943281941.jpg")</f>
        <v>1773943281941.jpg</v>
      </c>
      <c r="U35" s="61" t="str">
        <f>IFERROR(__xludf.DUMMYFUNCTION("""COMPUTED_VALUE"""),"Post Graduate")</f>
        <v>Post Graduate</v>
      </c>
      <c r="V35" s="61" t="str">
        <f>IFERROR(__xludf.DUMMYFUNCTION("""COMPUTED_VALUE"""),"PGDM/MBA")</f>
        <v>PGDM/MBA</v>
      </c>
      <c r="W35" s="61" t="str">
        <f>IFERROR(__xludf.DUMMYFUNCTION("""COMPUTED_VALUE"""),"Marketing &amp; HR")</f>
        <v>Marketing &amp; HR</v>
      </c>
      <c r="X35" s="61" t="str">
        <f>IFERROR(__xludf.DUMMYFUNCTION("""COMPUTED_VALUE"""),"Jaipuria Institute of Management")</f>
        <v>Jaipuria Institute of Management</v>
      </c>
      <c r="Y35" s="61" t="str">
        <f>IFERROR(__xludf.DUMMYFUNCTION("""COMPUTED_VALUE"""),"Yes")</f>
        <v>Yes</v>
      </c>
      <c r="Z35" s="61" t="str">
        <f>IFERROR(__xludf.DUMMYFUNCTION("""COMPUTED_VALUE"""),"India")</f>
        <v>India</v>
      </c>
      <c r="AA35" s="61" t="str">
        <f>IFERROR(__xludf.DUMMYFUNCTION("""COMPUTED_VALUE"""),"No")</f>
        <v>No</v>
      </c>
      <c r="AB35" s="61"/>
      <c r="AC35" s="61"/>
      <c r="AD35" s="61" t="str">
        <f>IFERROR(__xludf.DUMMYFUNCTION("""COMPUTED_VALUE"""),"NO")</f>
        <v>NO</v>
      </c>
      <c r="AE35" s="61"/>
      <c r="AF35" s="61"/>
      <c r="AG35" s="61"/>
      <c r="AH35" s="61" t="str">
        <f>IFERROR(__xludf.DUMMYFUNCTION("""COMPUTED_VALUE"""),"No")</f>
        <v>No</v>
      </c>
      <c r="AI35" s="61"/>
      <c r="AJ35" s="61"/>
      <c r="AK35" s="61"/>
      <c r="AL35" s="61" t="str">
        <f>IFERROR(__xludf.DUMMYFUNCTION("""COMPUTED_VALUE"""),"Writer, Thinker, Speaker, Business Professional")</f>
        <v>Writer, Thinker, Speaker, Business Professional</v>
      </c>
      <c r="AM35" s="61" t="str">
        <f>IFERROR(__xludf.DUMMYFUNCTION("""COMPUTED_VALUE"""),"Resume SS.docx")</f>
        <v>Resume SS.docx</v>
      </c>
      <c r="AN35" s="61" t="str">
        <f>IFERROR(__xludf.DUMMYFUNCTION("""COMPUTED_VALUE"""),"Yes, in a sense. My purpose is to help people solve problems, learn new skills, think more clearly, and make better decisions.I have focused on helping people around me through mentoring colleagues, sharing professional knowledge, and improving business p"&amp;"rocesses that increase efficiency and customer satisfaction. I also believe in treating people with respect, supporting my team, and continuously learning so I can contribute more effectively. While these may seem like small actions, consistent positive c"&amp;"ontributions can create a lasting impact over time.")</f>
        <v>Yes, in a sense. My purpose is to help people solve problems, learn new skills, think more clearly, and make better decisions.I have focused on helping people around me through mentoring colleagues, sharing professional knowledge, and improving business processes that increase efficiency and customer satisfaction. I also believe in treating people with respect, supporting my team, and continuously learning so I can contribute more effectively. While these may seem like small actions, consistent positive contributions can create a lasting impact over time.</v>
      </c>
      <c r="AO35" s="61" t="str">
        <f>IFERROR(__xludf.DUMMYFUNCTION("""COMPUTED_VALUE"""),"There isn't a single universally correct answer because diplomatic influence depends on factors such as economic power, military capability, alliances, geography, and participation in international organizations. Like if talk about my own country ""BHARAT"&amp;""" - ncreasing geopolitical importance due to its large economy, strategic location in the Indo-Pacific, leadership in the Global South, and participation in forums like the G20, BRICS, and Quad.
While globally the United States is generally considered th"&amp;"e most diplomatically significant because of its extensive diplomatic network, global alliances, economic influence, and leadership role in many international institutions.")</f>
        <v>There isn't a single universally correct answer because diplomatic influence depends on factors such as economic power, military capability, alliances, geography, and participation in international organizations. Like if talk about my own country "BHARAT" - ncreasing geopolitical importance due to its large economy, strategic location in the Indo-Pacific, leadership in the Global South, and participation in forums like the G20, BRICS, and Quad.
While globally the United States is generally considered the most diplomatically significant because of its extensive diplomatic network, global alliances, economic influence, and leadership role in many international institutions.</v>
      </c>
      <c r="AP35" s="61" t="str">
        <f>IFERROR(__xludf.DUMMYFUNCTION("""COMPUTED_VALUE"""),"Youth play a vital role in diplomacy because they bring fresh ideas, innovation, and a global perspective. They are often at the forefront of addressing issues such as climate change, technology, education, peacebuilding, and sustainable development. Thro"&amp;"ugh social media, cultural exchanges, entrepreneurship, and volunteer initiatives, young people can build understanding across borders and challenge stereotypes.
I believe diplomacy is not limited to governments. Public diplomacy is about fostering mutual"&amp;" understanding between people, cultures, and nations. In my own capacity, I contribute by communicating respectfully with people from diverse backgrounds, promoting cultural understanding, and sharing knowledge and experiences.")</f>
        <v>Youth play a vital role in diplomacy because they bring fresh ideas, innovation, and a global perspective. They are often at the forefront of addressing issues such as climate change, technology, education, peacebuilding, and sustainable development. Through social media, cultural exchanges, entrepreneurship, and volunteer initiatives, young people can build understanding across borders and challenge stereotypes.
I believe diplomacy is not limited to governments. Public diplomacy is about fostering mutual understanding between people, cultures, and nations. In my own capacity, I contribute by communicating respectfully with people from diverse backgrounds, promoting cultural understanding, and sharing knowledge and experiences.</v>
      </c>
      <c r="AQ35" s="61" t="str">
        <f>IFERROR(__xludf.DUMMYFUNCTION("""COMPUTED_VALUE"""),"Passion is a strong inner drive and enthusiasm for something that gives a person purpose and motivation. It is what keeps you committed even when you face challenges or setbacks. Unlike short-term excitement, passion provides long-term dedication and enco"&amp;"urages continuous learning and self-improvement.
Passion helps me achieve my goals by keeping me focused, resilient, and willing to put in consistent effort. It motivates me to develop new skills, embrace challenges as opportunities to learn, and stay com"&amp;"mitted even when progress is slow.")</f>
        <v>Passion is a strong inner drive and enthusiasm for something that gives a person purpose and motivation. It is what keeps you committed even when you face challenges or setbacks. Unlike short-term excitement, passion provides long-term dedication and encourages continuous learning and self-improvement.
Passion helps me achieve my goals by keeping me focused, resilient, and willing to put in consistent effort. It motivates me to develop new skills, embrace challenges as opportunities to learn, and stay committed even when progress is slow.</v>
      </c>
      <c r="AR35" s="61" t="str">
        <f>IFERROR(__xludf.DUMMYFUNCTION("""COMPUTED_VALUE"""),"Yes, I consider myself a creative person. For me, creativity is not just about generating new ideas—it's about finding practical and effective ways to solve problems and communicate with people. I enjoy looking at challenges from different perspectives an"&amp;"d adapting my approach based on the audience and the situation.
I would contribute by creating inclusive and people-centered initiatives, listening to diverse perspectives, and using innovative communication methods to encourage dialogue rather than one-w"&amp;"ay messaging. I believe that the most effective public diplomacy is built on authenticity, respect, and long-term relationships, not just promotion.")</f>
        <v>Yes, I consider myself a creative person. For me, creativity is not just about generating new ideas—it's about finding practical and effective ways to solve problems and communicate with people. I enjoy looking at challenges from different perspectives and adapting my approach based on the audience and the situation.
I would contribute by creating inclusive and people-centered initiatives, listening to diverse perspectives, and using innovative communication methods to encourage dialogue rather than one-way messaging. I believe that the most effective public diplomacy is built on authenticity, respect, and long-term relationships, not just promotion.</v>
      </c>
      <c r="AS35" s="61" t="str">
        <f>IFERROR(__xludf.DUMMYFUNCTION("""COMPUTED_VALUE"""),"Yes")</f>
        <v>Yes</v>
      </c>
      <c r="AT35" s="61" t="str">
        <f>IFERROR(__xludf.DUMMYFUNCTION("""COMPUTED_VALUE"""),"Yes")</f>
        <v>Yes</v>
      </c>
      <c r="AU35" s="61" t="str">
        <f>IFERROR(__xludf.DUMMYFUNCTION("""COMPUTED_VALUE"""),"Strategy, Peace &amp; Cultural Diplomacy")</f>
        <v>Strategy, Peace &amp; Cultural Diplomacy</v>
      </c>
      <c r="AV35" s="61" t="str">
        <f>IFERROR(__xludf.DUMMYFUNCTION("""COMPUTED_VALUE"""),"News Paper - Amar Ujala")</f>
        <v>News Paper - Amar Ujala</v>
      </c>
      <c r="AW35" s="61" t="str">
        <f>IFERROR(__xludf.DUMMYFUNCTION("""COMPUTED_VALUE"""),"Global Politics")</f>
        <v>Global Politics</v>
      </c>
      <c r="AX35" s="66" t="str">
        <f>IFERROR(__xludf.DUMMYFUNCTION("""COMPUTED_VALUE"""),"Yes")</f>
        <v>Yes</v>
      </c>
      <c r="AY35" s="66">
        <f>IFERROR(__xludf.DUMMYFUNCTION("""COMPUTED_VALUE"""),15.99)</f>
        <v>15.99</v>
      </c>
      <c r="AZ35" s="61"/>
      <c r="BA35" s="61"/>
      <c r="BB35" s="61"/>
      <c r="BC35" s="61"/>
      <c r="BD35" s="61"/>
      <c r="BE35" s="61"/>
      <c r="BF35" s="61"/>
      <c r="BG35" s="61"/>
      <c r="BH35" s="61"/>
      <c r="BI35" s="61"/>
      <c r="BJ35" s="61"/>
      <c r="BK35" s="61"/>
      <c r="BL35" s="61"/>
      <c r="BM35" s="61"/>
      <c r="BN35" s="61"/>
      <c r="BO35" s="61"/>
      <c r="BP35" s="61"/>
      <c r="BQ35" s="61"/>
      <c r="BR35" s="61"/>
    </row>
    <row r="36" ht="15.75" customHeight="1">
      <c r="A36" s="61" t="str">
        <f>IFERROR(__xludf.DUMMYFUNCTION("""COMPUTED_VALUE"""),"partial")</f>
        <v>partial</v>
      </c>
      <c r="B36" s="62">
        <f>IFERROR(__xludf.DUMMYFUNCTION("""COMPUTED_VALUE"""),49.0)</f>
        <v>49</v>
      </c>
      <c r="C36" s="61" t="str">
        <f>IFERROR(__xludf.DUMMYFUNCTION("""COMPUTED_VALUE"""),"partial")</f>
        <v>partial</v>
      </c>
      <c r="D36" s="63" t="str">
        <f>IFERROR(__xludf.DUMMYFUNCTION("""COMPUTED_VALUE"""),"Submitted")</f>
        <v>Submitted</v>
      </c>
      <c r="E36" s="63">
        <f>IFERROR(__xludf.DUMMYFUNCTION("""COMPUTED_VALUE"""),46191.83958333333)</f>
        <v>46191.83958</v>
      </c>
      <c r="F36" s="61" t="str">
        <f>IFERROR(__xludf.DUMMYFUNCTION("""COMPUTED_VALUE"""),"Aigerim Sarsembayeva")</f>
        <v>Aigerim Sarsembayeva</v>
      </c>
      <c r="G36" s="61" t="str">
        <f>IFERROR(__xludf.DUMMYFUNCTION("""COMPUTED_VALUE"""),"Aigerim Sarsembayeva")</f>
        <v>Aigerim Sarsembayeva</v>
      </c>
      <c r="H36" s="61" t="str">
        <f>IFERROR(__xludf.DUMMYFUNCTION("""COMPUTED_VALUE"""),"s.aichka.kz@gmail.com")</f>
        <v>s.aichka.kz@gmail.com</v>
      </c>
      <c r="I36" s="61" t="str">
        <f>IFERROR(__xludf.DUMMYFUNCTION("""COMPUTED_VALUE"""),"s.aichka.kz@gmail.com")</f>
        <v>s.aichka.kz@gmail.com</v>
      </c>
      <c r="J36" s="61" t="str">
        <f>IFERROR(__xludf.DUMMYFUNCTION("""COMPUTED_VALUE"""),"Bekzat Sattarkhanova 19, Taugul-3, Almaty")</f>
        <v>Bekzat Sattarkhanova 19, Taugul-3, Almaty</v>
      </c>
      <c r="K36" s="61" t="str">
        <f>IFERROR(__xludf.DUMMYFUNCTION("""COMPUTED_VALUE"""),"Kazakh")</f>
        <v>Kazakh</v>
      </c>
      <c r="L36" s="64" t="str">
        <f>IFERROR(__xludf.DUMMYFUNCTION("""COMPUTED_VALUE"""),"+7 705 9838 999")</f>
        <v>+7 705 9838 999</v>
      </c>
      <c r="M36" s="64">
        <f>IFERROR(__xludf.DUMMYFUNCTION("""COMPUTED_VALUE"""),33145.0)</f>
        <v>33145</v>
      </c>
      <c r="N36" s="61" t="str">
        <f>IFERROR(__xludf.DUMMYFUNCTION("""COMPUTED_VALUE"""),"N11591045")</f>
        <v>N11591045</v>
      </c>
      <c r="O36" s="61" t="str">
        <f>IFERROR(__xludf.DUMMYFUNCTION("""COMPUTED_VALUE"""),"+7 705 9838 999")</f>
        <v>+7 705 9838 999</v>
      </c>
      <c r="P36" s="65" t="str">
        <f>IFERROR(__xludf.DUMMYFUNCTION("""COMPUTED_VALUE"""),"https://www.linkedin.com/in/aigerim-sarsembayeva-83bb5a3ab?utm_source=share_via&amp;utm_content=profile&amp;utm_medium=member_ios")</f>
        <v>https://www.linkedin.com/in/aigerim-sarsembayeva-83bb5a3ab?utm_source=share_via&amp;utm_content=profile&amp;utm_medium=member_ios</v>
      </c>
      <c r="Q36" s="65" t="str">
        <f>IFERROR(__xludf.DUMMYFUNCTION("""COMPUTED_VALUE"""),"https://www.instagram.com/aichka.999?igsh=MzUwMHkwcWhzOWRm&amp;utm_source=qr")</f>
        <v>https://www.instagram.com/aichka.999?igsh=MzUwMHkwcWhzOWRm&amp;utm_source=qr</v>
      </c>
      <c r="R36" s="61"/>
      <c r="S36" s="61" t="str">
        <f>IFERROR(__xludf.DUMMYFUNCTION("""COMPUTED_VALUE"""),"Passport.PDF")</f>
        <v>Passport.PDF</v>
      </c>
      <c r="T36" s="61" t="str">
        <f>IFERROR(__xludf.DUMMYFUNCTION("""COMPUTED_VALUE"""),"Spain_Madrid (1).jpeg")</f>
        <v>Spain_Madrid (1).jpeg</v>
      </c>
      <c r="U36" s="61" t="str">
        <f>IFERROR(__xludf.DUMMYFUNCTION("""COMPUTED_VALUE"""),"Bachelor's")</f>
        <v>Bachelor's</v>
      </c>
      <c r="V36" s="61" t="str">
        <f>IFERROR(__xludf.DUMMYFUNCTION("""COMPUTED_VALUE"""),"Bachelor of Education in Foreign Language")</f>
        <v>Bachelor of Education in Foreign Language</v>
      </c>
      <c r="W36" s="61" t="str">
        <f>IFERROR(__xludf.DUMMYFUNCTION("""COMPUTED_VALUE"""),"Two Foreign Languages")</f>
        <v>Two Foreign Languages</v>
      </c>
      <c r="X36" s="61" t="str">
        <f>IFERROR(__xludf.DUMMYFUNCTION("""COMPUTED_VALUE"""),"Shymkent University, Shymkent, Kazakhstan")</f>
        <v>Shymkent University, Shymkent, Kazakhstan</v>
      </c>
      <c r="Y36" s="61" t="str">
        <f>IFERROR(__xludf.DUMMYFUNCTION("""COMPUTED_VALUE"""),"Yes")</f>
        <v>Yes</v>
      </c>
      <c r="Z36" s="61"/>
      <c r="AA36" s="61" t="str">
        <f>IFERROR(__xludf.DUMMYFUNCTION("""COMPUTED_VALUE"""),"No")</f>
        <v>No</v>
      </c>
      <c r="AB36" s="61"/>
      <c r="AC36" s="61"/>
      <c r="AD36" s="61" t="str">
        <f>IFERROR(__xludf.DUMMYFUNCTION("""COMPUTED_VALUE"""),"""GENIUS"" school")</f>
        <v>"GENIUS" school</v>
      </c>
      <c r="AE36" s="65" t="str">
        <f>IFERROR(__xludf.DUMMYFUNCTION("""COMPUTED_VALUE"""),"https://www.instagram.com/geniusonline.kz?igsh=cTNzajRhNWdxZzN2")</f>
        <v>https://www.instagram.com/geniusonline.kz?igsh=cTNzajRhNWdxZzN2</v>
      </c>
      <c r="AF36" s="61" t="str">
        <f>IFERROR(__xludf.DUMMYFUNCTION("""COMPUTED_VALUE"""),"In this role, I provided free tutoring to students who had been awarded special school program grants, helping them succed academically.")</f>
        <v>In this role, I provided free tutoring to students who had been awarded special school program grants, helping them succed academically.</v>
      </c>
      <c r="AG36" s="61" t="str">
        <f>IFERROR(__xludf.DUMMYFUNCTION("""COMPUTED_VALUE"""),"2022-2025")</f>
        <v>2022-2025</v>
      </c>
      <c r="AH36" s="61" t="str">
        <f>IFERROR(__xludf.DUMMYFUNCTION("""COMPUTED_VALUE"""),"Yes")</f>
        <v>Yes</v>
      </c>
      <c r="AI36" s="61" t="str">
        <f>IFERROR(__xludf.DUMMYFUNCTION("""COMPUTED_VALUE"""),"In my role, I teach students, an at the same, I am developing and implementing educational programs and methods for the school I have founded.")</f>
        <v>In my role, I teach students, an at the same, I am developing and implementing educational programs and methods for the school I have founded.</v>
      </c>
      <c r="AJ36" s="61"/>
      <c r="AK36" s="61"/>
      <c r="AL36" s="61" t="str">
        <f>IFERROR(__xludf.DUMMYFUNCTION("""COMPUTED_VALUE"""),"Educational Leader, School Founder, with skills in communication, multilingualism, photography, social media marketing, targeted advertising, and event organization.")</f>
        <v>Educational Leader, School Founder, with skills in communication, multilingualism, photography, social media marketing, targeted advertising, and event organization.</v>
      </c>
      <c r="AM36" s="61" t="str">
        <f>IFERROR(__xludf.DUMMYFUNCTION("""COMPUTED_VALUE"""),"Aigerim Sarsembayeva CV.pdf")</f>
        <v>Aigerim Sarsembayeva CV.pdf</v>
      </c>
      <c r="AN36" s="61" t="str">
        <f>IFERROR(__xludf.DUMMYFUNCTION("""COMPUTED_VALUE"""),"I have always believed that real change begins with education. As an educator and founder of Unique Bilim School, I took action by creating a learning environment that empowers children through language education, cognitive development, creative thinking,"&amp;" and cultural awareness. I teach English, mental arithmetic, and speed reading to help young learners build confidence, curiosity, and strong communication skills. I also mentor students individually and design innovative learning methods that encourage c"&amp;"ritical thinking and independent learning. Through education, I aim to inspire a new generation of open-minded, multilingual young people who respect diversity, connect cultures, and contribute positively to a more understanding and cooperative world.")</f>
        <v>I have always believed that real change begins with education. As an educator and founder of Unique Bilim School, I took action by creating a learning environment that empowers children through language education, cognitive development, creative thinking, and cultural awareness. I teach English, mental arithmetic, and speed reading to help young learners build confidence, curiosity, and strong communication skills. I also mentor students individually and design innovative learning methods that encourage critical thinking and independent learning. Through education, I aim to inspire a new generation of open-minded, multilingual young people who respect diversity, connect cultures, and contribute positively to a more understanding and cooperative world.</v>
      </c>
      <c r="AO36" s="61" t="str">
        <f>IFERROR(__xludf.DUMMYFUNCTION("""COMPUTED_VALUE"""),"I believe that diplomatic significance today comes not only from individual countries but from systems that bring nations together to solve global challenges. Organizations like the United Nations, European Union, and NATO provide platforms for dialogue, "&amp;"cooperation, and mutual understanding. Within these systems, countries such as Germany, Finland, France, and Czech Republic, renowned for strong education systems and cultural openness, often act as leaders and mediators. I think true diplomatic influence"&amp;" comes from the ability to educate, connect, and inspire people across cultures, creating lasting understanding and collaboration.")</f>
        <v>I believe that diplomatic significance today comes not only from individual countries but from systems that bring nations together to solve global challenges. Organizations like the United Nations, European Union, and NATO provide platforms for dialogue, cooperation, and mutual understanding. Within these systems, countries such as Germany, Finland, France, and Czech Republic, renowned for strong education systems and cultural openness, often act as leaders and mediators. I think true diplomatic influence comes from the ability to educate, connect, and inspire people across cultures, creating lasting understanding and collaboration.</v>
      </c>
      <c r="AP36" s="61" t="str">
        <f>IFERROR(__xludf.DUMMYFUNCTION("""COMPUTED_VALUE"""),"Youth have the power to shape the future of diplomacy by turning curiosity into action and learning into meaningful connections with others. For me, this is personal. As the founder of Unique Bilim School, I have created a space where children explore new"&amp;" languages in depth, practice mental arithmetic to build logical thinking and problem-solving, strengthen their reading and comprehension skills, and develop creativity and confidence in all areas of learning. By mentoring each student individually, I see"&amp;" how empathy, patience, collaboration, and curiosity grow when young people engage with different cultures and ideas firsthand.
I view Public Diplomacy as building genuine relationships rather than delivering formal statements. It is about connecting mind"&amp;"s, fostering understanding, nurturing trust, and showing appreciation for differences. My participation in international conferences, cultural programs, and collaborative projects has taught me that youth can act as ambassadors without formal titles, insp"&amp;"iring communities to listen, learn, and work together. By nurturing thoughtful, confident, multilingual learners and creating engaging experiences in classrooms, workshops, and cultural exchanges, I aim to empower the next generation to bring diplomacy in"&amp;"to everyday life. Small, intentional actions can ripple outward, shaping empathy, cooperation, and a more peaceful, interconnected world.")</f>
        <v>Youth have the power to shape the future of diplomacy by turning curiosity into action and learning into meaningful connections with others. For me, this is personal. As the founder of Unique Bilim School, I have created a space where children explore new languages in depth, practice mental arithmetic to build logical thinking and problem-solving, strengthen their reading and comprehension skills, and develop creativity and confidence in all areas of learning. By mentoring each student individually, I see how empathy, patience, collaboration, and curiosity grow when young people engage with different cultures and ideas firsthand.
I view Public Diplomacy as building genuine relationships rather than delivering formal statements. It is about connecting minds, fostering understanding, nurturing trust, and showing appreciation for differences. My participation in international conferences, cultural programs, and collaborative projects has taught me that youth can act as ambassadors without formal titles, inspiring communities to listen, learn, and work together. By nurturing thoughtful, confident, multilingual learners and creating engaging experiences in classrooms, workshops, and cultural exchanges, I aim to empower the next generation to bring diplomacy into everyday life. Small, intentional actions can ripple outward, shaping empathy, cooperation, and a more peaceful, interconnected world.</v>
      </c>
      <c r="AQ36" s="61" t="str">
        <f>IFERROR(__xludf.DUMMYFUNCTION("""COMPUTED_VALUE"""),"Passion is the driving force that turns ideas into action and challenges into opportunities. For me, it is the desire to inspire and empower others through education and cultural exchange. My passion for teaching languages, mental arithmetic, and speed re"&amp;"ading fuels every lesson I design and every student I mentor. It motivates me to create Unique Bilim School, where young learners can explore knowledge creatively, build confidence, and develop skills that prepare them for a global future. Passion keeps m"&amp;"e persistent when facing obstacles, encouraging continuous learning and innovation in my teaching methods. It also connects me to broader goals, such as promoting intercultural understanding and preparing students to engage with diverse communities. By ch"&amp;"anneling my passion into meaningful action, I am able to achieve both personal and professional goals while making a positive impact on the next generation of learners and future leaders.")</f>
        <v>Passion is the driving force that turns ideas into action and challenges into opportunities. For me, it is the desire to inspire and empower others through education and cultural exchange. My passion for teaching languages, mental arithmetic, and speed reading fuels every lesson I design and every student I mentor. It motivates me to create Unique Bilim School, where young learners can explore knowledge creatively, build confidence, and develop skills that prepare them for a global future. Passion keeps me persistent when facing obstacles, encouraging continuous learning and innovation in my teaching methods. It also connects me to broader goals, such as promoting intercultural understanding and preparing students to engage with diverse communities. By channeling my passion into meaningful action, I am able to achieve both personal and professional goals while making a positive impact on the next generation of learners and future leaders.</v>
      </c>
      <c r="AR36" s="61" t="str">
        <f>IFERROR(__xludf.DUMMYFUNCTION("""COMPUTED_VALUE"""),"I consider myself a creative person because creativity, for me, is a way of understanding the world and engaging with it thoughtfully. It allows me to notice hidden connections, imagine new possibilities, and take action to solve real challenges. Founding"&amp;" Unique Bilim School reflects this approach, as I design lessons in languages, mental arithmetic, speed reading, and cultural activities that help children build confidence, develop problem-solving skills, strengthen curiosity, and cultivate independent t"&amp;"hinking. By mentoring students individually, I see them grow in empathy, resilience, communication, and collaboration, and learn to appreciate diverse perspectives.
Creativity becomes a powerful force in public diplomacy when it turns ideas into meaningfu"&amp;"l experiences. By creating educational programs, cultural workshops, and interactive learning opportunities, I help young people explore other cultures, practice respectful dialogue, and build trust and understanding. Diplomacy is not only the work of gov"&amp;"ernments; it thrives when people connect, share knowledge, and collaborate across communities. For me, creativity is the bridge between thought and action, transforming education and cultural engagement into strategies that inspire cooperation, curiosity,"&amp;" and positive change around the world.")</f>
        <v>I consider myself a creative person because creativity, for me, is a way of understanding the world and engaging with it thoughtfully. It allows me to notice hidden connections, imagine new possibilities, and take action to solve real challenges. Founding Unique Bilim School reflects this approach, as I design lessons in languages, mental arithmetic, speed reading, and cultural activities that help children build confidence, develop problem-solving skills, strengthen curiosity, and cultivate independent thinking. By mentoring students individually, I see them grow in empathy, resilience, communication, and collaboration, and learn to appreciate diverse perspectives.
Creativity becomes a powerful force in public diplomacy when it turns ideas into meaningful experiences. By creating educational programs, cultural workshops, and interactive learning opportunities, I help young people explore other cultures, practice respectful dialogue, and build trust and understanding. Diplomacy is not only the work of governments; it thrives when people connect, share knowledge, and collaborate across communities. For me, creativity is the bridge between thought and action, transforming education and cultural engagement into strategies that inspire cooperation, curiosity, and positive change around the world.</v>
      </c>
      <c r="AS36" s="61" t="str">
        <f>IFERROR(__xludf.DUMMYFUNCTION("""COMPUTED_VALUE"""),"Yes")</f>
        <v>Yes</v>
      </c>
      <c r="AT36" s="61" t="str">
        <f>IFERROR(__xludf.DUMMYFUNCTION("""COMPUTED_VALUE"""),"Yes")</f>
        <v>Yes</v>
      </c>
      <c r="AU36" s="61" t="str">
        <f>IFERROR(__xludf.DUMMYFUNCTION("""COMPUTED_VALUE"""),"Strategy, Peace &amp; Cultural Diplomacy")</f>
        <v>Strategy, Peace &amp; Cultural Diplomacy</v>
      </c>
      <c r="AV36" s="61" t="str">
        <f>IFERROR(__xludf.DUMMYFUNCTION("""COMPUTED_VALUE"""),"it was sent to my e-mail, but before thriugh instagram.")</f>
        <v>it was sent to my e-mail, but before thriugh instagram.</v>
      </c>
      <c r="AW36" s="61" t="str">
        <f>IFERROR(__xludf.DUMMYFUNCTION("""COMPUTED_VALUE"""),"I am interested in several of these programs because they are interconnected, and they help a person become well-rounded in their development. For instance: International Public Service Relations, Arts, Culture and Soft Power, Strategy, Peace and Cultural"&amp;" Siplomacy.")</f>
        <v>I am interested in several of these programs because they are interconnected, and they help a person become well-rounded in their development. For instance: International Public Service Relations, Arts, Culture and Soft Power, Strategy, Peace and Cultural Siplomacy.</v>
      </c>
      <c r="AX36" s="66" t="str">
        <f>IFERROR(__xludf.DUMMYFUNCTION("""COMPUTED_VALUE"""),"Yes")</f>
        <v>Yes</v>
      </c>
      <c r="AY36" s="66">
        <f>IFERROR(__xludf.DUMMYFUNCTION("""COMPUTED_VALUE"""),15.99)</f>
        <v>15.99</v>
      </c>
      <c r="AZ36" s="61"/>
      <c r="BA36" s="61"/>
      <c r="BB36" s="61"/>
      <c r="BC36" s="61"/>
      <c r="BD36" s="61"/>
      <c r="BE36" s="61"/>
      <c r="BF36" s="61"/>
      <c r="BG36" s="61"/>
      <c r="BH36" s="61"/>
      <c r="BI36" s="61"/>
      <c r="BJ36" s="61"/>
      <c r="BK36" s="61"/>
      <c r="BL36" s="61"/>
      <c r="BM36" s="61"/>
      <c r="BN36" s="61"/>
      <c r="BO36" s="61"/>
      <c r="BP36" s="61"/>
      <c r="BQ36" s="61"/>
      <c r="BR36" s="61"/>
    </row>
    <row r="37" ht="15.75" customHeight="1">
      <c r="A37" s="61" t="str">
        <f>IFERROR(__xludf.DUMMYFUNCTION("""COMPUTED_VALUE"""),"Self")</f>
        <v>Self</v>
      </c>
      <c r="B37" s="62">
        <f>IFERROR(__xludf.DUMMYFUNCTION("""COMPUTED_VALUE"""),50.0)</f>
        <v>50</v>
      </c>
      <c r="C37" s="61" t="str">
        <f>IFERROR(__xludf.DUMMYFUNCTION("""COMPUTED_VALUE"""),"Self")</f>
        <v>Self</v>
      </c>
      <c r="D37" s="63" t="str">
        <f>IFERROR(__xludf.DUMMYFUNCTION("""COMPUTED_VALUE"""),"Submitted")</f>
        <v>Submitted</v>
      </c>
      <c r="E37" s="63">
        <f>IFERROR(__xludf.DUMMYFUNCTION("""COMPUTED_VALUE"""),46191.85833333333)</f>
        <v>46191.85833</v>
      </c>
      <c r="F37" s="61" t="str">
        <f>IFERROR(__xludf.DUMMYFUNCTION("""COMPUTED_VALUE"""),"Szabolcs Subert")</f>
        <v>Szabolcs Subert</v>
      </c>
      <c r="G37" s="61" t="str">
        <f>IFERROR(__xludf.DUMMYFUNCTION("""COMPUTED_VALUE"""),"Subert Szabolcs")</f>
        <v>Subert Szabolcs</v>
      </c>
      <c r="H37" s="61" t="str">
        <f>IFERROR(__xludf.DUMMYFUNCTION("""COMPUTED_VALUE"""),"subert.szabolcs@gmail.com")</f>
        <v>subert.szabolcs@gmail.com</v>
      </c>
      <c r="I37" s="61" t="str">
        <f>IFERROR(__xludf.DUMMYFUNCTION("""COMPUTED_VALUE"""),"subert.szabolcs@gmail.com")</f>
        <v>subert.szabolcs@gmail.com</v>
      </c>
      <c r="J37" s="61" t="str">
        <f>IFERROR(__xludf.DUMMYFUNCTION("""COMPUTED_VALUE"""),"H-3524 Miskolc, Kölcsey Ferenc utca 13 7/2, Miskolc, Hungary")</f>
        <v>H-3524 Miskolc, Kölcsey Ferenc utca 13 7/2, Miskolc, Hungary</v>
      </c>
      <c r="K37" s="61" t="str">
        <f>IFERROR(__xludf.DUMMYFUNCTION("""COMPUTED_VALUE"""),"Hungarian")</f>
        <v>Hungarian</v>
      </c>
      <c r="L37" s="64" t="str">
        <f>IFERROR(__xludf.DUMMYFUNCTION("""COMPUTED_VALUE"""),"+36204763228")</f>
        <v>+36204763228</v>
      </c>
      <c r="M37" s="64">
        <f>IFERROR(__xludf.DUMMYFUNCTION("""COMPUTED_VALUE"""),32258.0)</f>
        <v>32258</v>
      </c>
      <c r="N37" s="61" t="str">
        <f>IFERROR(__xludf.DUMMYFUNCTION("""COMPUTED_VALUE"""),"202483IE")</f>
        <v>202483IE</v>
      </c>
      <c r="O37" s="61" t="str">
        <f>IFERROR(__xludf.DUMMYFUNCTION("""COMPUTED_VALUE"""),"+36704569056")</f>
        <v>+36704569056</v>
      </c>
      <c r="P37" s="67" t="str">
        <f>IFERROR(__xludf.DUMMYFUNCTION("""COMPUTED_VALUE"""),"www.linkedin.com/in/szabolcs-subert-3b8463a1")</f>
        <v>www.linkedin.com/in/szabolcs-subert-3b8463a1</v>
      </c>
      <c r="Q37" s="61"/>
      <c r="R37" s="65" t="str">
        <f>IFERROR(__xludf.DUMMYFUNCTION("""COMPUTED_VALUE"""),"https://www.facebook.com/szabolcs.subert")</f>
        <v>https://www.facebook.com/szabolcs.subert</v>
      </c>
      <c r="S37" s="61" t="str">
        <f>IFERROR(__xludf.DUMMYFUNCTION("""COMPUTED_VALUE"""),"Útlevél_SubertSz.pdf")</f>
        <v>Útlevél_SubertSz.pdf</v>
      </c>
      <c r="T37" s="61" t="str">
        <f>IFERROR(__xludf.DUMMYFUNCTION("""COMPUTED_VALUE"""),"Igazolványkép_Subert_Szabolcs.JPG")</f>
        <v>Igazolványkép_Subert_Szabolcs.JPG</v>
      </c>
      <c r="U37" s="61" t="str">
        <f>IFERROR(__xludf.DUMMYFUNCTION("""COMPUTED_VALUE"""),"International Relations")</f>
        <v>International Relations</v>
      </c>
      <c r="V37" s="61" t="str">
        <f>IFERROR(__xludf.DUMMYFUNCTION("""COMPUTED_VALUE"""),"BA")</f>
        <v>BA</v>
      </c>
      <c r="W37" s="61"/>
      <c r="X37" s="61" t="str">
        <f>IFERROR(__xludf.DUMMYFUNCTION("""COMPUTED_VALUE"""),"University of Miskolc")</f>
        <v>University of Miskolc</v>
      </c>
      <c r="Y37" s="61" t="str">
        <f>IFERROR(__xludf.DUMMYFUNCTION("""COMPUTED_VALUE"""),"No")</f>
        <v>No</v>
      </c>
      <c r="Z37" s="61" t="str">
        <f>IFERROR(__xludf.DUMMYFUNCTION("""COMPUTED_VALUE"""),"Hungary")</f>
        <v>Hungary</v>
      </c>
      <c r="AA37" s="61" t="str">
        <f>IFERROR(__xludf.DUMMYFUNCTION("""COMPUTED_VALUE"""),"Yes")</f>
        <v>Yes</v>
      </c>
      <c r="AB37" s="61" t="str">
        <f>IFERROR(__xludf.DUMMYFUNCTION("""COMPUTED_VALUE"""),"Jeevan Rekha Parishad (NGO; India; European Voluntary Service program)")</f>
        <v>Jeevan Rekha Parishad (NGO; India; European Voluntary Service program)</v>
      </c>
      <c r="AC37" s="61" t="str">
        <f>IFERROR(__xludf.DUMMYFUNCTION("""COMPUTED_VALUE"""),"yes")</f>
        <v>yes</v>
      </c>
      <c r="AD37" s="61" t="str">
        <f>IFERROR(__xludf.DUMMYFUNCTION("""COMPUTED_VALUE"""),"Jeevan Rekha Parishad")</f>
        <v>Jeevan Rekha Parishad</v>
      </c>
      <c r="AE37" s="65" t="str">
        <f>IFERROR(__xludf.DUMMYFUNCTION("""COMPUTED_VALUE"""),"https://blue-community.net/2025/06/blue-community-jrp-from-odisha-india/")</f>
        <v>https://blue-community.net/2025/06/blue-community-jrp-from-odisha-india/</v>
      </c>
      <c r="AF37" s="61" t="str">
        <f>IFERROR(__xludf.DUMMYFUNCTION("""COMPUTED_VALUE"""),"volunteer")</f>
        <v>volunteer</v>
      </c>
      <c r="AG37" s="61" t="str">
        <f>IFERROR(__xludf.DUMMYFUNCTION("""COMPUTED_VALUE"""),"2019")</f>
        <v>2019</v>
      </c>
      <c r="AH37" s="61" t="str">
        <f>IFERROR(__xludf.DUMMYFUNCTION("""COMPUTED_VALUE"""),"No")</f>
        <v>No</v>
      </c>
      <c r="AI37" s="61"/>
      <c r="AJ37" s="61"/>
      <c r="AK37" s="61"/>
      <c r="AL37" s="61" t="str">
        <f>IFERROR(__xludf.DUMMYFUNCTION("""COMPUTED_VALUE"""),"enterpreneur; logistic&amp;operation")</f>
        <v>enterpreneur; logistic&amp;operation</v>
      </c>
      <c r="AM37" s="61" t="str">
        <f>IFERROR(__xludf.DUMMYFUNCTION("""COMPUTED_VALUE"""),"Szabolcs_Subert_CV.pdf")</f>
        <v>Szabolcs_Subert_CV.pdf</v>
      </c>
      <c r="AN37" s="61" t="str">
        <f>IFERROR(__xludf.DUMMYFUNCTION("""COMPUTED_VALUE"""),"Yes. To me, changing the world means building bridges across cultures to counter prejudice. In my personal capacity, I have dedicated over eight years to grassroots civil society and international youth advocacy. As an EU volunteer in India and Croatia, I"&amp;" actively drove local social economy and solidarity projects. Furthermore, I have led numerous national delegations within the Erasmus+ framework across Europe, empowering young people through non-formal education. By combining my international relations "&amp;"expertise with frontline community engagement, I practically foster intercultural empathy, proving that sustainable global impact begins with committed, cross-border youth diplomacy at the grassroots level.")</f>
        <v>Yes. To me, changing the world means building bridges across cultures to counter prejudice. In my personal capacity, I have dedicated over eight years to grassroots civil society and international youth advocacy. As an EU volunteer in India and Croatia, I actively drove local social economy and solidarity projects. Furthermore, I have led numerous national delegations within the Erasmus+ framework across Europe, empowering young people through non-formal education. By combining my international relations expertise with frontline community engagement, I practically foster intercultural empathy, proving that sustainable global impact begins with committed, cross-border youth diplomacy at the grassroots level.</v>
      </c>
      <c r="AO37" s="61" t="str">
        <f>IFERROR(__xludf.DUMMYFUNCTION("""COMPUTED_VALUE"""),"China is arguably one of the most diplomatically significant country today, as its strategic actions redefine the global geopolitical architecture. Through massive economic statecraft, such as the Belt and Road Initiative, Beijing has fundamentally reshap"&amp;"ed international trade routes and development diplomacy. Furthermore, its expanding footprint in Europe—particularly through industrial and battery sector investments—directly challenges the European Union’s pursuit of strategic autonomy. Navigating China"&amp;"’s rise requires sophisticated, multilateral public diplomacy. Understanding Beijing's cultural and economic approach is essential for contemporary diplomats to maintain global stability, foster balanced partnerships, and address transnational challenges "&amp;"in an increasingly multipolar world order.")</f>
        <v>China is arguably one of the most diplomatically significant country today, as its strategic actions redefine the global geopolitical architecture. Through massive economic statecraft, such as the Belt and Road Initiative, Beijing has fundamentally reshaped international trade routes and development diplomacy. Furthermore, its expanding footprint in Europe—particularly through industrial and battery sector investments—directly challenges the European Union’s pursuit of strategic autonomy. Navigating China’s rise requires sophisticated, multilateral public diplomacy. Understanding Beijing's cultural and economic approach is essential for contemporary diplomats to maintain global stability, foster balanced partnerships, and address transnational challenges in an increasingly multipolar world order.</v>
      </c>
      <c r="AP37" s="61" t="str">
        <f>IFERROR(__xludf.DUMMYFUNCTION("""COMPUTED_VALUE"""),"Youth play a transformative role in modern diplomacy, acting as agile bridges in an interconnected world. Unlike traditional, state-centric statecraft, young leaders utilize soft power to foster immediate, grassroots connections. They challenge outdated p"&amp;"rejudices through digital connectivity, cultural exchanges, and transnational activism, turning complex geopolitical goals into shared, human-centered values.I deeply relate to Public Diplomacy because my background bridges academic theory with over eight"&amp;" years of direct field experience. As an International Relations MA candidate, I understand that public diplomacy is essential for building long-term mutual trust. In my personal capacity, I have practiced this by leading national Erasmus+ delegations acr"&amp;"oss Europe and volunteering for social projects in India and Croatia. These experiences taught me that diplomacy is not confined to embassies; it thrives through civilian engagement. Furthermore, my research on EU-China economic relations and European str"&amp;"ategic autonomy reinforces my belief that economic ties must be mirrored by strong cultural empathy. By attending YPDS 2026, I aim to leverage my interdisciplinary skills as an IR researcher and engineer to advocate for structured youth dialogue, proving "&amp;"that grassroots public diplomacy is the cornerstone of sustainable global cooperation.")</f>
        <v>Youth play a transformative role in modern diplomacy, acting as agile bridges in an interconnected world. Unlike traditional, state-centric statecraft, young leaders utilize soft power to foster immediate, grassroots connections. They challenge outdated prejudices through digital connectivity, cultural exchanges, and transnational activism, turning complex geopolitical goals into shared, human-centered values.I deeply relate to Public Diplomacy because my background bridges academic theory with over eight years of direct field experience. As an International Relations MA candidate, I understand that public diplomacy is essential for building long-term mutual trust. In my personal capacity, I have practiced this by leading national Erasmus+ delegations across Europe and volunteering for social projects in India and Croatia. These experiences taught me that diplomacy is not confined to embassies; it thrives through civilian engagement. Furthermore, my research on EU-China economic relations and European strategic autonomy reinforces my belief that economic ties must be mirrored by strong cultural empathy. By attending YPDS 2026, I aim to leverage my interdisciplinary skills as an IR researcher and engineer to advocate for structured youth dialogue, proving that grassroots public diplomacy is the cornerstone of sustainable global cooperation.</v>
      </c>
      <c r="AQ37" s="61" t="str">
        <f>IFERROR(__xludf.DUMMYFUNCTION("""COMPUTED_VALUE"""),"To me, passion is the enduring internal fuel that transforms a vision into disciplined action. It is not a fleeting emotion, but a deep commitment to purpose that bridges diverse fields and sustains resilience during complex challenges.Passion helps me ac"&amp;"hieve my goals by driving my interdisciplinary journey. It is what inspired a mechanical engineer to pursue international relations to understand global systems, and what guided me through rigorous voluntary military training. This drive converts strategi"&amp;"c curiosity into concrete results, whether managing demanding logistics operations or leading international youth delegations across borders. In public diplomacy, passion is essential; it creates the authentic energy needed to build cross-cultural trust a"&amp;"nd unite people around shared solutions. Ultimately, my passion ensures that I do not merely analyze global challenges from a distance, but actively master the practical and operational skills required to solve them effectively on the ground.")</f>
        <v>To me, passion is the enduring internal fuel that transforms a vision into disciplined action. It is not a fleeting emotion, but a deep commitment to purpose that bridges diverse fields and sustains resilience during complex challenges.Passion helps me achieve my goals by driving my interdisciplinary journey. It is what inspired a mechanical engineer to pursue international relations to understand global systems, and what guided me through rigorous voluntary military training. This drive converts strategic curiosity into concrete results, whether managing demanding logistics operations or leading international youth delegations across borders. In public diplomacy, passion is essential; it creates the authentic energy needed to build cross-cultural trust and unite people around shared solutions. Ultimately, my passion ensures that I do not merely analyze global challenges from a distance, but actively master the practical and operational skills required to solve them effectively on the ground.</v>
      </c>
      <c r="AR37" s="61" t="str">
        <f>IFERROR(__xludf.DUMMYFUNCTION("""COMPUTED_VALUE"""),"Yes, I am a creative person, but my creativity is rooted in structured problem-solving and interdisciplinary synergy. For me, creativity is the ability to connect seemingly unrelated fields—such as mechanical engineering, operational logistics, and intern"&amp;"ational relations—to design innovative, real-world solutions.To turn this into an effective public diplomacy strategy, I focus on ""practical diplomacy."" First, I apply engineering logic to analyze complex geopolitical issues, such as EU-China relations,"&amp;" and translate them into accessible, data-driven public narratives. Second, I leverage my seven years of entrepreneurial logistics experience to design and execute highly efficient, large-scale youth exchange programs. In a successful strategy, creativity"&amp;" must be backed by operational discipline. My voluntary military training ensures that innovative ideas are always executed with strict structural readiness. By using non-formal educational frameworks from my eight years in civil society, I can create eng"&amp;"aging, cross-border digital campaigns and interactive cultural forums. This approach transforms abstract foreign policy goals into tangible grassroots experiences. Ultimately, my creativity builds a public diplomacy strategy that is not only culturally in"&amp;"spiring but also logistically flawless, secure, and highly impactful on the ground.")</f>
        <v>Yes, I am a creative person, but my creativity is rooted in structured problem-solving and interdisciplinary synergy. For me, creativity is the ability to connect seemingly unrelated fields—such as mechanical engineering, operational logistics, and international relations—to design innovative, real-world solutions.To turn this into an effective public diplomacy strategy, I focus on "practical diplomacy." First, I apply engineering logic to analyze complex geopolitical issues, such as EU-China relations, and translate them into accessible, data-driven public narratives. Second, I leverage my seven years of entrepreneurial logistics experience to design and execute highly efficient, large-scale youth exchange programs. In a successful strategy, creativity must be backed by operational discipline. My voluntary military training ensures that innovative ideas are always executed with strict structural readiness. By using non-formal educational frameworks from my eight years in civil society, I can create engaging, cross-border digital campaigns and interactive cultural forums. This approach transforms abstract foreign policy goals into tangible grassroots experiences. Ultimately, my creativity builds a public diplomacy strategy that is not only culturally inspiring but also logistically flawless, secure, and highly impactful on the ground.</v>
      </c>
      <c r="AS37" s="61" t="str">
        <f>IFERROR(__xludf.DUMMYFUNCTION("""COMPUTED_VALUE"""),"Yes")</f>
        <v>Yes</v>
      </c>
      <c r="AT37" s="61" t="str">
        <f>IFERROR(__xludf.DUMMYFUNCTION("""COMPUTED_VALUE"""),"Yes")</f>
        <v>Yes</v>
      </c>
      <c r="AU37" s="61" t="str">
        <f>IFERROR(__xludf.DUMMYFUNCTION("""COMPUTED_VALUE"""),"Global Politics, Diplomacy &amp; Identities")</f>
        <v>Global Politics, Diplomacy &amp; Identities</v>
      </c>
      <c r="AV37" s="61" t="str">
        <f>IFERROR(__xludf.DUMMYFUNCTION("""COMPUTED_VALUE"""),"Scholarship portals")</f>
        <v>Scholarship portals</v>
      </c>
      <c r="AW37" s="61" t="str">
        <f>IFERROR(__xludf.DUMMYFUNCTION("""COMPUTED_VALUE"""),"Geopolitics &amp; Soft Power Dynamics (or Digital Diplomacy &amp; Strategic Communications)")</f>
        <v>Geopolitics &amp; Soft Power Dynamics (or Digital Diplomacy &amp; Strategic Communications)</v>
      </c>
      <c r="AX37" s="66" t="str">
        <f>IFERROR(__xludf.DUMMYFUNCTION("""COMPUTED_VALUE"""),"Yes")</f>
        <v>Yes</v>
      </c>
      <c r="AY37" s="66">
        <f>IFERROR(__xludf.DUMMYFUNCTION("""COMPUTED_VALUE"""),15.99)</f>
        <v>15.99</v>
      </c>
      <c r="AZ37" s="61"/>
      <c r="BA37" s="61"/>
      <c r="BB37" s="61"/>
      <c r="BC37" s="61"/>
      <c r="BD37" s="61"/>
      <c r="BE37" s="61"/>
      <c r="BF37" s="61"/>
      <c r="BG37" s="61"/>
      <c r="BH37" s="61"/>
      <c r="BI37" s="61"/>
      <c r="BJ37" s="61"/>
      <c r="BK37" s="61"/>
      <c r="BL37" s="61"/>
      <c r="BM37" s="61"/>
      <c r="BN37" s="61"/>
      <c r="BO37" s="61"/>
      <c r="BP37" s="61"/>
      <c r="BQ37" s="61"/>
      <c r="BR37" s="61"/>
    </row>
    <row r="38" ht="15.75" customHeight="1">
      <c r="A38" s="61" t="str">
        <f>IFERROR(__xludf.DUMMYFUNCTION("""COMPUTED_VALUE"""),"")</f>
        <v/>
      </c>
      <c r="B38" s="62">
        <f>IFERROR(__xludf.DUMMYFUNCTION("""COMPUTED_VALUE"""),51.0)</f>
        <v>51</v>
      </c>
      <c r="C38" s="61" t="str">
        <f>IFERROR(__xludf.DUMMYFUNCTION("""COMPUTED_VALUE"""),"Self")</f>
        <v>Self</v>
      </c>
      <c r="D38" s="63" t="str">
        <f>IFERROR(__xludf.DUMMYFUNCTION("""COMPUTED_VALUE"""),"Submitted")</f>
        <v>Submitted</v>
      </c>
      <c r="E38" s="63">
        <f>IFERROR(__xludf.DUMMYFUNCTION("""COMPUTED_VALUE"""),46191.97291666667)</f>
        <v>46191.97292</v>
      </c>
      <c r="F38" s="61" t="str">
        <f>IFERROR(__xludf.DUMMYFUNCTION("""COMPUTED_VALUE"""),"Valeriia Pober")</f>
        <v>Valeriia Pober</v>
      </c>
      <c r="G38" s="61" t="str">
        <f>IFERROR(__xludf.DUMMYFUNCTION("""COMPUTED_VALUE"""),"Valeriia Pober")</f>
        <v>Valeriia Pober</v>
      </c>
      <c r="H38" s="61" t="str">
        <f>IFERROR(__xludf.DUMMYFUNCTION("""COMPUTED_VALUE"""),"valeriapober1@gmail.com")</f>
        <v>valeriapober1@gmail.com</v>
      </c>
      <c r="I38" s="61" t="str">
        <f>IFERROR(__xludf.DUMMYFUNCTION("""COMPUTED_VALUE"""),"lisagamilton@gmail.com")</f>
        <v>lisagamilton@gmail.com</v>
      </c>
      <c r="J38" s="61" t="str">
        <f>IFERROR(__xludf.DUMMYFUNCTION("""COMPUTED_VALUE"""),"Kilińskiego 12, Oleśnica, Poland")</f>
        <v>Kilińskiego 12, Oleśnica, Poland</v>
      </c>
      <c r="K38" s="61" t="str">
        <f>IFERROR(__xludf.DUMMYFUNCTION("""COMPUTED_VALUE"""),"Ukrainian")</f>
        <v>Ukrainian</v>
      </c>
      <c r="L38" s="64" t="str">
        <f>IFERROR(__xludf.DUMMYFUNCTION("""COMPUTED_VALUE"""),"+48881642027")</f>
        <v>+48881642027</v>
      </c>
      <c r="M38" s="64">
        <f>IFERROR(__xludf.DUMMYFUNCTION("""COMPUTED_VALUE"""),38598.0)</f>
        <v>38598</v>
      </c>
      <c r="N38" s="61" t="str">
        <f>IFERROR(__xludf.DUMMYFUNCTION("""COMPUTED_VALUE"""),"GB630024")</f>
        <v>GB630024</v>
      </c>
      <c r="O38" s="61" t="str">
        <f>IFERROR(__xludf.DUMMYFUNCTION("""COMPUTED_VALUE"""),"+380984272675")</f>
        <v>+380984272675</v>
      </c>
      <c r="P38" s="65" t="str">
        <f>IFERROR(__xludf.DUMMYFUNCTION("""COMPUTED_VALUE"""),"https://www.linkedin.com/in/valeria-pober/")</f>
        <v>https://www.linkedin.com/in/valeria-pober/</v>
      </c>
      <c r="Q38" s="67" t="str">
        <f>IFERROR(__xludf.DUMMYFUNCTION("""COMPUTED_VALUE"""),"https://www.instagram.com/ekleraq?igsh=eHA0emtuYmR3bm45&amp;utm_source=qr")</f>
        <v>https://www.instagram.com/ekleraq?igsh=eHA0emtuYmR3bm45&amp;utm_source=qr</v>
      </c>
      <c r="R38" s="65" t="str">
        <f>IFERROR(__xludf.DUMMYFUNCTION("""COMPUTED_VALUE"""),"https://www.facebook.com/share/17cFeE84Vp/?mibextid=wwXIfr")</f>
        <v>https://www.facebook.com/share/17cFeE84Vp/?mibextid=wwXIfr</v>
      </c>
      <c r="S38" s="61" t="str">
        <f>IFERROR(__xludf.DUMMYFUNCTION("""COMPUTED_VALUE"""),"2021-12-28_091387.jpg")</f>
        <v>2021-12-28_091387.jpg</v>
      </c>
      <c r="T38" s="61" t="str">
        <f>IFERROR(__xludf.DUMMYFUNCTION("""COMPUTED_VALUE"""),"photo_5192739929476240830_x.jpg")</f>
        <v>photo_5192739929476240830_x.jpg</v>
      </c>
      <c r="U38" s="61" t="str">
        <f>IFERROR(__xludf.DUMMYFUNCTION("""COMPUTED_VALUE"""),"Bachelors")</f>
        <v>Bachelors</v>
      </c>
      <c r="V38" s="61" t="str">
        <f>IFERROR(__xludf.DUMMYFUNCTION("""COMPUTED_VALUE"""),"International Relations")</f>
        <v>International Relations</v>
      </c>
      <c r="W38" s="61" t="str">
        <f>IFERROR(__xludf.DUMMYFUNCTION("""COMPUTED_VALUE"""),"Cyber Security")</f>
        <v>Cyber Security</v>
      </c>
      <c r="X38" s="61" t="str">
        <f>IFERROR(__xludf.DUMMYFUNCTION("""COMPUTED_VALUE"""),"Civitas University")</f>
        <v>Civitas University</v>
      </c>
      <c r="Y38" s="61" t="str">
        <f>IFERROR(__xludf.DUMMYFUNCTION("""COMPUTED_VALUE"""),"Yes")</f>
        <v>Yes</v>
      </c>
      <c r="Z38" s="61" t="str">
        <f>IFERROR(__xludf.DUMMYFUNCTION("""COMPUTED_VALUE"""),"Poland")</f>
        <v>Poland</v>
      </c>
      <c r="AA38" s="61" t="str">
        <f>IFERROR(__xludf.DUMMYFUNCTION("""COMPUTED_VALUE"""),"No")</f>
        <v>No</v>
      </c>
      <c r="AB38" s="61"/>
      <c r="AC38" s="61" t="str">
        <f>IFERROR(__xludf.DUMMYFUNCTION("""COMPUTED_VALUE"""),"Yes, I am familiar with academic research. I wrote my bachelor's/master's thesis in International Relations with a specialization in Cybersecurity, focusing on 'The Impact of the 2007 Estonia Cyberattacks on NATO Policy.'")</f>
        <v>Yes, I am familiar with academic research. I wrote my bachelor's/master's thesis in International Relations with a specialization in Cybersecurity, focusing on 'The Impact of the 2007 Estonia Cyberattacks on NATO Policy.'</v>
      </c>
      <c r="AD38" s="61" t="str">
        <f>IFERROR(__xludf.DUMMYFUNCTION("""COMPUTED_VALUE"""),"SOS Wioski Dziecięce")</f>
        <v>SOS Wioski Dziecięce</v>
      </c>
      <c r="AE38" s="65" t="str">
        <f>IFERROR(__xludf.DUMMYFUNCTION("""COMPUTED_VALUE"""),"https://wioskisos.org/")</f>
        <v>https://wioskisos.org/</v>
      </c>
      <c r="AF38" s="61" t="str">
        <f>IFERROR(__xludf.DUMMYFUNCTION("""COMPUTED_VALUE"""),"Volunteer Fundraiser")</f>
        <v>Volunteer Fundraiser</v>
      </c>
      <c r="AG38" s="61" t="str">
        <f>IFERROR(__xludf.DUMMYFUNCTION("""COMPUTED_VALUE"""),"0")</f>
        <v>0</v>
      </c>
      <c r="AH38" s="61" t="str">
        <f>IFERROR(__xludf.DUMMYFUNCTION("""COMPUTED_VALUE"""),"No")</f>
        <v>No</v>
      </c>
      <c r="AI38" s="61"/>
      <c r="AJ38" s="61"/>
      <c r="AK38" s="61"/>
      <c r="AL38" s="61" t="str">
        <f>IFERROR(__xludf.DUMMYFUNCTION("""COMPUTED_VALUE"""),"International relations, public diplomacy, leadership, data analysis, cross-cultural communication, public speaking, research, critical thinking, problem solving, teamwork, project management, cybersecurity awareness")</f>
        <v>International relations, public diplomacy, leadership, data analysis, cross-cultural communication, public speaking, research, critical thinking, problem solving, teamwork, project management, cybersecurity awareness</v>
      </c>
      <c r="AM38" s="61" t="str">
        <f>IFERROR(__xludf.DUMMYFUNCTION("""COMPUTED_VALUE"""),"Valeria Pober.pdf")</f>
        <v>Valeria Pober.pdf</v>
      </c>
      <c r="AN38" s="61" t="str">
        <f>IFERROR(__xludf.DUMMYFUNCTION("""COMPUTED_VALUE"""),"Yes, I have always believed that meaningful change starts with personal action, even on a small scale. Through my work with Southwestern Advantage, I engaged with hundreds of families, helping them make informed decisions about educational opportunities f"&amp;"or their children and supporting their academic success. I am also a language tutor, helping my students improve their English, Ukrainian, and Russian language skills and achieve their learning goals. I strive to make a positive impact by empowering other"&amp;"s, encouraging learning, as well as building connections across different communities.")</f>
        <v>Yes, I have always believed that meaningful change starts with personal action, even on a small scale. Through my work with Southwestern Advantage, I engaged with hundreds of families, helping them make informed decisions about educational opportunities for their children and supporting their academic success. I am also a language tutor, helping my students improve their English, Ukrainian, and Russian language skills and achieve their learning goals. I strive to make a positive impact by empowering others, encouraging learning, as well as building connections across different communities.</v>
      </c>
      <c r="AO38" s="61" t="str">
        <f>IFERROR(__xludf.DUMMYFUNCTION("""COMPUTED_VALUE"""),"I think that the USA is among the most diplomatically important countries in the world today. Due to the global political, economical, security and innovative leadership of the USA, its influence on international relations goes beyond its own borders. The"&amp;" USA is an active player in international organizations, conflict resolution, humanitarian aid and promotion of democracy. Alliances and partnerships of the United States influence global security and cooperation of the economies. Every nation is confront"&amp;"ed with certain problems, but the United States continues to be an important player in the diplomacy that solves many global problems.")</f>
        <v>I think that the USA is among the most diplomatically important countries in the world today. Due to the global political, economical, security and innovative leadership of the USA, its influence on international relations goes beyond its own borders. The USA is an active player in international organizations, conflict resolution, humanitarian aid and promotion of democracy. Alliances and partnerships of the United States influence global security and cooperation of the economies. Every nation is confronted with certain problems, but the United States continues to be an important player in the diplomacy that solves many global problems.</v>
      </c>
      <c r="AP38" s="61" t="str">
        <f>IFERROR(__xludf.DUMMYFUNCTION("""COMPUTED_VALUE"""),"In my view, youth is important in diplomacy because they provide new ideas, creativity, and the ability to engage in dialogue among different societies. I believe, that in today's interconnected society, young people are capable of creating a mutual under"&amp;"standing, breaking down stereotypes, and fostering cooperation on various global problems. 
I strongly relate to the idea of public diplomacy because I have experienced the value of connecting with people from different backgrounds. Through my studies in "&amp;"International Relations, participation in international exchange programs, work with families through Southwestern Advantage, and experience as a language tutor, I have learned that meaningful relationships often begin with communication and understanding"&amp;". 
For me, public diplomacy is a powerful way to build understanding between people from different cultures and backgrounds. I believe young people can contribute by participating in international exchanges, sharing their perspectives, and engaging in mea"&amp;"ningful dialogue. By staying open-minded and willing to learn from others, we can help create stronger connections and encourage cooperation across borders.")</f>
        <v>In my view, youth is important in diplomacy because they provide new ideas, creativity, and the ability to engage in dialogue among different societies. I believe, that in today's interconnected society, young people are capable of creating a mutual understanding, breaking down stereotypes, and fostering cooperation on various global problems. 
I strongly relate to the idea of public diplomacy because I have experienced the value of connecting with people from different backgrounds. Through my studies in International Relations, participation in international exchange programs, work with families through Southwestern Advantage, and experience as a language tutor, I have learned that meaningful relationships often begin with communication and understanding. 
For me, public diplomacy is a powerful way to build understanding between people from different cultures and backgrounds. I believe young people can contribute by participating in international exchanges, sharing their perspectives, and engaging in meaningful dialogue. By staying open-minded and willing to learn from others, we can help create stronger connections and encourage cooperation across borders.</v>
      </c>
      <c r="AQ38" s="61" t="str">
        <f>IFERROR(__xludf.DUMMYFUNCTION("""COMPUTED_VALUE"""),"To me, passion is a strong sense of purpose that motivates a person to keep moving forward, even when challenges arise. It is not just excitement about something, but the commitment to continue learning, improving, and working toward meaningful goals.
Pas"&amp;"sion helps me achieve my goals by providing the motivation to keep going during difficult moments, whether that's researching complex topics, volunteering, or pushing through challenges like door-to-door fundraising, which required stepping out of my comf"&amp;"ort zone and engaging directly with strangers. When you're passionate about something, putting in the effort to improve and succeed feels natural, which makes it easier to keep making progress over time.")</f>
        <v>To me, passion is a strong sense of purpose that motivates a person to keep moving forward, even when challenges arise. It is not just excitement about something, but the commitment to continue learning, improving, and working toward meaningful goals.
Passion helps me achieve my goals by providing the motivation to keep going during difficult moments, whether that's researching complex topics, volunteering, or pushing through challenges like door-to-door fundraising, which required stepping out of my comfort zone and engaging directly with strangers. When you're passionate about something, putting in the effort to improve and succeed feels natural, which makes it easier to keep making progress over time.</v>
      </c>
      <c r="AR38" s="61" t="str">
        <f>IFERROR(__xludf.DUMMYFUNCTION("""COMPUTED_VALUE"""),"Yes, I think I am a creative person, not in the sense of being a great artist, but in the way I approach problems and communication. For me, creativity means finding unexpected ways to connect with people and make complicated things feel simple and relata"&amp;"ble.
I think this is exactly what public diplomacy needs today. People are constantly overwhelmed with information, so if you want your message to actually reach someone, it has to be genuine and engaging, not formal or distant. Things like storytelling, "&amp;"cultural exchange, or even a well-made social media post can do more for mutual understanding between countries than many official statements.
From my own experience, whether meeting families through door-to-door work or studying in an international envir"&amp;"onment with people from different countries, I have learned that meaningful connections begin with listening and understanding others. You adapt, you find common ground, and you speak in a way that makes sense to the person in front of you.
I believe publ"&amp;"ic diplomacy works best when people feel heard and understood. That is why I would focus on creating meaningful conversations and making international issues more accessible, especially for younger generations.")</f>
        <v>Yes, I think I am a creative person, not in the sense of being a great artist, but in the way I approach problems and communication. For me, creativity means finding unexpected ways to connect with people and make complicated things feel simple and relatable.
I think this is exactly what public diplomacy needs today. People are constantly overwhelmed with information, so if you want your message to actually reach someone, it has to be genuine and engaging, not formal or distant. Things like storytelling, cultural exchange, or even a well-made social media post can do more for mutual understanding between countries than many official statements.
From my own experience, whether meeting families through door-to-door work or studying in an international environment with people from different countries, I have learned that meaningful connections begin with listening and understanding others. You adapt, you find common ground, and you speak in a way that makes sense to the person in front of you.
I believe public diplomacy works best when people feel heard and understood. That is why I would focus on creating meaningful conversations and making international issues more accessible, especially for younger generations.</v>
      </c>
      <c r="AS38" s="61" t="str">
        <f>IFERROR(__xludf.DUMMYFUNCTION("""COMPUTED_VALUE"""),"Yes")</f>
        <v>Yes</v>
      </c>
      <c r="AT38" s="61" t="str">
        <f>IFERROR(__xludf.DUMMYFUNCTION("""COMPUTED_VALUE"""),"Yes")</f>
        <v>Yes</v>
      </c>
      <c r="AU38" s="61" t="str">
        <f>IFERROR(__xludf.DUMMYFUNCTION("""COMPUTED_VALUE"""),"Global Politics, Diplomacy &amp; Identities")</f>
        <v>Global Politics, Diplomacy &amp; Identities</v>
      </c>
      <c r="AV38" s="61" t="str">
        <f>IFERROR(__xludf.DUMMYFUNCTION("""COMPUTED_VALUE"""),"Scholarship portal")</f>
        <v>Scholarship portal</v>
      </c>
      <c r="AW38" s="61" t="str">
        <f>IFERROR(__xludf.DUMMYFUNCTION("""COMPUTED_VALUE"""),"Responsible Leadership Towards Sustainable Development")</f>
        <v>Responsible Leadership Towards Sustainable Development</v>
      </c>
      <c r="AX38" s="66" t="str">
        <f>IFERROR(__xludf.DUMMYFUNCTION("""COMPUTED_VALUE"""),"Yes")</f>
        <v>Yes</v>
      </c>
      <c r="AY38" s="66">
        <f>IFERROR(__xludf.DUMMYFUNCTION("""COMPUTED_VALUE"""),15.99)</f>
        <v>15.99</v>
      </c>
      <c r="AZ38" s="61"/>
      <c r="BA38" s="61"/>
      <c r="BB38" s="61"/>
      <c r="BC38" s="61"/>
      <c r="BD38" s="61"/>
      <c r="BE38" s="61"/>
      <c r="BF38" s="61"/>
      <c r="BG38" s="61"/>
      <c r="BH38" s="61"/>
      <c r="BI38" s="61"/>
      <c r="BJ38" s="61"/>
      <c r="BK38" s="61"/>
      <c r="BL38" s="61"/>
      <c r="BM38" s="61"/>
      <c r="BN38" s="61"/>
      <c r="BO38" s="61"/>
      <c r="BP38" s="61"/>
      <c r="BQ38" s="61"/>
      <c r="BR38" s="61"/>
    </row>
    <row r="39" ht="15.75" customHeight="1">
      <c r="A39" s="61" t="str">
        <f>IFERROR(__xludf.DUMMYFUNCTION("""COMPUTED_VALUE"""),"Partial")</f>
        <v>Partial</v>
      </c>
      <c r="B39" s="62">
        <f>IFERROR(__xludf.DUMMYFUNCTION("""COMPUTED_VALUE"""),52.0)</f>
        <v>52</v>
      </c>
      <c r="C39" s="61" t="str">
        <f>IFERROR(__xludf.DUMMYFUNCTION("""COMPUTED_VALUE"""),"Partial")</f>
        <v>Partial</v>
      </c>
      <c r="D39" s="63" t="str">
        <f>IFERROR(__xludf.DUMMYFUNCTION("""COMPUTED_VALUE"""),"Submitted")</f>
        <v>Submitted</v>
      </c>
      <c r="E39" s="63">
        <f>IFERROR(__xludf.DUMMYFUNCTION("""COMPUTED_VALUE"""),46192.01388888889)</f>
        <v>46192.01389</v>
      </c>
      <c r="F39" s="61" t="str">
        <f>IFERROR(__xludf.DUMMYFUNCTION("""COMPUTED_VALUE"""),"Shahram Gharib")</f>
        <v>Shahram Gharib</v>
      </c>
      <c r="G39" s="61" t="str">
        <f>IFERROR(__xludf.DUMMYFUNCTION("""COMPUTED_VALUE"""),"Shahram Jalal Gharib")</f>
        <v>Shahram Jalal Gharib</v>
      </c>
      <c r="H39" s="61" t="str">
        <f>IFERROR(__xludf.DUMMYFUNCTION("""COMPUTED_VALUE"""),"shahram.jalal98@icloud.com")</f>
        <v>shahram.jalal98@icloud.com</v>
      </c>
      <c r="I39" s="61" t="str">
        <f>IFERROR(__xludf.DUMMYFUNCTION("""COMPUTED_VALUE"""),"bossshahram165@gmail.com")</f>
        <v>bossshahram165@gmail.com</v>
      </c>
      <c r="J39" s="61" t="str">
        <f>IFERROR(__xludf.DUMMYFUNCTION("""COMPUTED_VALUE"""),"salim street, sulaymaniah, Iraq")</f>
        <v>salim street, sulaymaniah, Iraq</v>
      </c>
      <c r="K39" s="61" t="str">
        <f>IFERROR(__xludf.DUMMYFUNCTION("""COMPUTED_VALUE"""),"iraqi")</f>
        <v>iraqi</v>
      </c>
      <c r="L39" s="64" t="str">
        <f>IFERROR(__xludf.DUMMYFUNCTION("""COMPUTED_VALUE"""),"+9647701598570")</f>
        <v>+9647701598570</v>
      </c>
      <c r="M39" s="64">
        <f>IFERROR(__xludf.DUMMYFUNCTION("""COMPUTED_VALUE"""),38453.0)</f>
        <v>38453</v>
      </c>
      <c r="N39" s="61" t="str">
        <f>IFERROR(__xludf.DUMMYFUNCTION("""COMPUTED_VALUE"""),"b08169232")</f>
        <v>b08169232</v>
      </c>
      <c r="O39" s="61" t="str">
        <f>IFERROR(__xludf.DUMMYFUNCTION("""COMPUTED_VALUE"""),"+9647722137231")</f>
        <v>+9647722137231</v>
      </c>
      <c r="P39" s="65" t="str">
        <f>IFERROR(__xludf.DUMMYFUNCTION("""COMPUTED_VALUE"""),"https://www.linkedin.com/in/shahram-jalal-607928377?utm_source=share&amp;utm_campaign=share_via&amp;utm_content=profile&amp;utm_medium=ios_app")</f>
        <v>https://www.linkedin.com/in/shahram-jalal-607928377?utm_source=share&amp;utm_campaign=share_via&amp;utm_content=profile&amp;utm_medium=ios_app</v>
      </c>
      <c r="Q39" s="65" t="str">
        <f>IFERROR(__xludf.DUMMYFUNCTION("""COMPUTED_VALUE"""),"https://www.instagram.com/shahram_jalal_gharib?igsh=dzd2MTQ0eWhicDE1&amp;utm_source=qr")</f>
        <v>https://www.instagram.com/shahram_jalal_gharib?igsh=dzd2MTQ0eWhicDE1&amp;utm_source=qr</v>
      </c>
      <c r="R39" s="65" t="str">
        <f>IFERROR(__xludf.DUMMYFUNCTION("""COMPUTED_VALUE"""),"https://www.facebook.com/share/1BdMXkP1KK/?mibextid=wwXIfr")</f>
        <v>https://www.facebook.com/share/1BdMXkP1KK/?mibextid=wwXIfr</v>
      </c>
      <c r="S39" s="61" t="str">
        <f>IFERROR(__xludf.DUMMYFUNCTION("""COMPUTED_VALUE"""),"PASSPORT.jpg")</f>
        <v>PASSPORT.jpg</v>
      </c>
      <c r="T39" s="61" t="str">
        <f>IFERROR(__xludf.DUMMYFUNCTION("""COMPUTED_VALUE"""),"IMG-20250724-WA0002.jpg")</f>
        <v>IMG-20250724-WA0002.jpg</v>
      </c>
      <c r="U39" s="61" t="str">
        <f>IFERROR(__xludf.DUMMYFUNCTION("""COMPUTED_VALUE"""),"Undergraduate")</f>
        <v>Undergraduate</v>
      </c>
      <c r="V39" s="61" t="str">
        <f>IFERROR(__xludf.DUMMYFUNCTION("""COMPUTED_VALUE"""),"Bachelor of Law")</f>
        <v>Bachelor of Law</v>
      </c>
      <c r="W39" s="61" t="str">
        <f>IFERROR(__xludf.DUMMYFUNCTION("""COMPUTED_VALUE"""),"law")</f>
        <v>law</v>
      </c>
      <c r="X39" s="61" t="str">
        <f>IFERROR(__xludf.DUMMYFUNCTION("""COMPUTED_VALUE"""),"University of Sulaimani")</f>
        <v>University of Sulaimani</v>
      </c>
      <c r="Y39" s="61" t="str">
        <f>IFERROR(__xludf.DUMMYFUNCTION("""COMPUTED_VALUE"""),"Yes")</f>
        <v>Yes</v>
      </c>
      <c r="Z39" s="61" t="str">
        <f>IFERROR(__xludf.DUMMYFUNCTION("""COMPUTED_VALUE"""),"iraq")</f>
        <v>iraq</v>
      </c>
      <c r="AA39" s="61" t="str">
        <f>IFERROR(__xludf.DUMMYFUNCTION("""COMPUTED_VALUE"""),"No")</f>
        <v>No</v>
      </c>
      <c r="AB39" s="61"/>
      <c r="AC39" s="61" t="str">
        <f>IFERROR(__xludf.DUMMYFUNCTION("""COMPUTED_VALUE"""),"Yes. Through my legal studies and participation in the Saudi Commercial Arbitration Competition, I conducted research on legal frameworks, international legal principles, and case materials to support our legal analysis and argumentation.")</f>
        <v>Yes. Through my legal studies and participation in the Saudi Commercial Arbitration Competition, I conducted research on legal frameworks, international legal principles, and case materials to support our legal analysis and argumentation.</v>
      </c>
      <c r="AD39" s="61" t="str">
        <f>IFERROR(__xludf.DUMMYFUNCTION("""COMPUTED_VALUE"""),"Kurdstan Students Organization(charitable organization)")</f>
        <v>Kurdstan Students Organization(charitable organization)</v>
      </c>
      <c r="AE39" s="65" t="str">
        <f>IFERROR(__xludf.DUMMYFUNCTION("""COMPUTED_VALUE"""),"https://www.facebook.com/share/18ZeY1m2Yh/?mibextid=wwXIfr")</f>
        <v>https://www.facebook.com/share/18ZeY1m2Yh/?mibextid=wwXIfr</v>
      </c>
      <c r="AF39" s="61" t="str">
        <f>IFERROR(__xludf.DUMMYFUNCTION("""COMPUTED_VALUE"""),"Volunteer teacher for orphan")</f>
        <v>Volunteer teacher for orphan</v>
      </c>
      <c r="AG39" s="61" t="str">
        <f>IFERROR(__xludf.DUMMYFUNCTION("""COMPUTED_VALUE"""),"Six years")</f>
        <v>Six years</v>
      </c>
      <c r="AH39" s="61" t="str">
        <f>IFERROR(__xludf.DUMMYFUNCTION("""COMPUTED_VALUE"""),"Yes")</f>
        <v>Yes</v>
      </c>
      <c r="AI39" s="61"/>
      <c r="AJ39" s="61" t="str">
        <f>IFERROR(__xludf.DUMMYFUNCTION("""COMPUTED_VALUE"""),"no")</f>
        <v>no</v>
      </c>
      <c r="AK39" s="61"/>
      <c r="AL39" s="61" t="str">
        <f>IFERROR(__xludf.DUMMYFUNCTION("""COMPUTED_VALUE"""),"Content creator, Law student, Teacher, Public speaker.")</f>
        <v>Content creator, Law student, Teacher, Public speaker.</v>
      </c>
      <c r="AM39" s="61" t="str">
        <f>IFERROR(__xludf.DUMMYFUNCTION("""COMPUTED_VALUE"""),"SHAHRAM_CV.pdf")</f>
        <v>SHAHRAM_CV.pdf</v>
      </c>
      <c r="AN39" s="61" t="str">
        <f>IFERROR(__xludf.DUMMYFUNCTION("""COMPUTED_VALUE"""),"Yes, but i strongly believe essential change starts in someone's own community before it reaches the world. As my own experience, i have contributed in educational and social activities, like being a volunteer teacher for orphaned children and participati"&amp;"ng in environmental campaigns. I also create contents on social media platforms about books, philosophy, human rights and public policy. my main goal is to help and encourage people especially youths in my society to feel and be more responsible for their"&amp;" community, and be educated on global issues. While these actions my seem small, but i believe fundamental change is achieved through consistent efforts.")</f>
        <v>Yes, but i strongly believe essential change starts in someone's own community before it reaches the world. As my own experience, i have contributed in educational and social activities, like being a volunteer teacher for orphaned children and participating in environmental campaigns. I also create contents on social media platforms about books, philosophy, human rights and public policy. my main goal is to help and encourage people especially youths in my society to feel and be more responsible for their community, and be educated on global issues. While these actions my seem small, but i believe fundamental change is achieved through consistent efforts.</v>
      </c>
      <c r="AO39" s="61" t="str">
        <f>IFERROR(__xludf.DUMMYFUNCTION("""COMPUTED_VALUE"""),"I consider turkey to be one of the most diplomatically significant countries in today's globalized world. Turkey's geographical location is a bridge between continents, which gives it a unique role in international relations. Turkey is a NATO member while"&amp;" also maintaining a strong relationship with the middle east and central asia and other powerful countries. Its home for settling international disputes, diverse regional and international conferences and diplomatic dialogues, it demonstrates how diplomac"&amp;"y can be applied and used to promote peace and stability.")</f>
        <v>I consider turkey to be one of the most diplomatically significant countries in today's globalized world. Turkey's geographical location is a bridge between continents, which gives it a unique role in international relations. Turkey is a NATO member while also maintaining a strong relationship with the middle east and central asia and other powerful countries. Its home for settling international disputes, diverse regional and international conferences and diplomatic dialogues, it demonstrates how diplomacy can be applied and used to promote peace and stability.</v>
      </c>
      <c r="AP39" s="61" t="str">
        <f>IFERROR(__xludf.DUMMYFUNCTION("""COMPUTED_VALUE"""),"I think young people play a pivotal part in diplomacy especially nowadays, because right now communication is not a job solely for government and big organizations, a young person in their room can have a great influence on public opinion and promote idea"&amp;"s and build connections that cross borders through social media and technology. Youngs have the capacity to have effective impacts as a representative to their communities, to introduce their perspectives, cultures and to be an active voice for fostering "&amp;"human rights and justice.
I relate to the concept of public diplomacy because it focuses on communication between societies and different cultures rather than only between governments. Throughout my academic and volunteering activities, i have had the cha"&amp;"nce to meet different people from diverse backgrounds and cultures. when i participated in the Saudi commercial arbitration competition in saudi and the sixth international youth forum in turkey, i met many young individuals from different countries who h"&amp;"ad different perspectives, which happened to change my perspectives and made me aware of how different societies were functioning. 
I also contribute to public diplomacy through my work as a content creator. I make educational videos on books, philosophy,"&amp;" human rights, and public affairs, my purpose is to correct misconceptions, make complex concepts and  global issues simple to understand and introduce them to my community, that is my perception for what diplomacy is ultimately about.")</f>
        <v>I think young people play a pivotal part in diplomacy especially nowadays, because right now communication is not a job solely for government and big organizations, a young person in their room can have a great influence on public opinion and promote ideas and build connections that cross borders through social media and technology. Youngs have the capacity to have effective impacts as a representative to their communities, to introduce their perspectives, cultures and to be an active voice for fostering human rights and justice.
I relate to the concept of public diplomacy because it focuses on communication between societies and different cultures rather than only between governments. Throughout my academic and volunteering activities, i have had the chance to meet different people from diverse backgrounds and cultures. when i participated in the Saudi commercial arbitration competition in saudi and the sixth international youth forum in turkey, i met many young individuals from different countries who had different perspectives, which happened to change my perspectives and made me aware of how different societies were functioning. 
I also contribute to public diplomacy through my work as a content creator. I make educational videos on books, philosophy, human rights, and public affairs, my purpose is to correct misconceptions, make complex concepts and  global issues simple to understand and introduce them to my community, that is my perception for what diplomacy is ultimately about.</v>
      </c>
      <c r="AQ39" s="61" t="str">
        <f>IFERROR(__xludf.DUMMYFUNCTION("""COMPUTED_VALUE"""),"For me passion is the motivation that make you succeed, consistent and committed to your goals and purpose. Passion will encourage you to learn, improve yourself and enables you to continue when facing an obstacle or when you get to a failure.
My passion "&amp;"for law, politics, public affairs and social justice has influenced many aspects of my life. It keeps me motivated to those activities that I have participated in, like participating in international programs, creating educational content, being a univers"&amp;"ity representative for environmental campaigns, being a volunteered teacher to orphans, it was passion that encouraged me to apply for this program too, without passion it would be difficult to maintain discipline to pursue long term goals.")</f>
        <v>For me passion is the motivation that make you succeed, consistent and committed to your goals and purpose. Passion will encourage you to learn, improve yourself and enables you to continue when facing an obstacle or when you get to a failure.
My passion for law, politics, public affairs and social justice has influenced many aspects of my life. It keeps me motivated to those activities that I have participated in, like participating in international programs, creating educational content, being a university representative for environmental campaigns, being a volunteered teacher to orphans, it was passion that encouraged me to apply for this program too, without passion it would be difficult to maintain discipline to pursue long term goals.</v>
      </c>
      <c r="AR39" s="61" t="str">
        <f>IFERROR(__xludf.DUMMYFUNCTION("""COMPUTED_VALUE"""),"I consider myself a creative person because i am interested in finding new ways to communicate ideas and make complex subjects more accessible to others, i am also interested in learning new methods to execute my projects and be void of repetition. I thin"&amp;"k creativity is not limited to a specific topic, but rather it is a trait that a person has, i think being innovative is the core of creativity, you can be creative in education, communication, and problem solving, creativity doesn't mean complexity but r"&amp;"ather it means simplicity and understandable and engaging. 
Through my content, I try to present complex ideas in a simple and engaging way. Topics such as human rights, philosophy, and public affairs can sometimes seem difficult to many people, especiall"&amp;"y young audiences. Being creative enables you to make important subjects more accessible and interesting to a wider audience. I believe the same principle applies to public diplomacy. Effective public diplomacy is not only about sharing information but al"&amp;"so about building understanding between people from different cultures and backgrounds. In a world where social media has become a major source of information, creativity can help diplomatic messages reach wider audiences and create stronger connections b"&amp;"etween communities. Through innovative and engaging communication, public diplomacy can become more effective in promoting mutual understanding and international cooperation.")</f>
        <v>I consider myself a creative person because i am interested in finding new ways to communicate ideas and make complex subjects more accessible to others, i am also interested in learning new methods to execute my projects and be void of repetition. I think creativity is not limited to a specific topic, but rather it is a trait that a person has, i think being innovative is the core of creativity, you can be creative in education, communication, and problem solving, creativity doesn't mean complexity but rather it means simplicity and understandable and engaging. 
Through my content, I try to present complex ideas in a simple and engaging way. Topics such as human rights, philosophy, and public affairs can sometimes seem difficult to many people, especially young audiences. Being creative enables you to make important subjects more accessible and interesting to a wider audience. I believe the same principle applies to public diplomacy. Effective public diplomacy is not only about sharing information but also about building understanding between people from different cultures and backgrounds. In a world where social media has become a major source of information, creativity can help diplomatic messages reach wider audiences and create stronger connections between communities. Through innovative and engaging communication, public diplomacy can become more effective in promoting mutual understanding and international cooperation.</v>
      </c>
      <c r="AS39" s="61" t="str">
        <f>IFERROR(__xludf.DUMMYFUNCTION("""COMPUTED_VALUE"""),"Yes")</f>
        <v>Yes</v>
      </c>
      <c r="AT39" s="61" t="str">
        <f>IFERROR(__xludf.DUMMYFUNCTION("""COMPUTED_VALUE"""),"Yes")</f>
        <v>Yes</v>
      </c>
      <c r="AU39" s="61" t="str">
        <f>IFERROR(__xludf.DUMMYFUNCTION("""COMPUTED_VALUE"""),"Global Politics, Diplomacy &amp; Identities")</f>
        <v>Global Politics, Diplomacy &amp; Identities</v>
      </c>
      <c r="AV39" s="61" t="str">
        <f>IFERROR(__xludf.DUMMYFUNCTION("""COMPUTED_VALUE"""),"instagram page")</f>
        <v>instagram page</v>
      </c>
      <c r="AW39" s="61" t="str">
        <f>IFERROR(__xludf.DUMMYFUNCTION("""COMPUTED_VALUE"""),"Human Rights and International Law")</f>
        <v>Human Rights and International Law</v>
      </c>
      <c r="AX39" s="66" t="str">
        <f>IFERROR(__xludf.DUMMYFUNCTION("""COMPUTED_VALUE"""),"Yes")</f>
        <v>Yes</v>
      </c>
      <c r="AY39" s="66">
        <f>IFERROR(__xludf.DUMMYFUNCTION("""COMPUTED_VALUE"""),15.99)</f>
        <v>15.99</v>
      </c>
      <c r="AZ39" s="61"/>
      <c r="BA39" s="61"/>
      <c r="BB39" s="61"/>
      <c r="BC39" s="61"/>
      <c r="BD39" s="61"/>
      <c r="BE39" s="61"/>
      <c r="BF39" s="61"/>
      <c r="BG39" s="61"/>
      <c r="BH39" s="61"/>
      <c r="BI39" s="61"/>
      <c r="BJ39" s="61"/>
      <c r="BK39" s="61"/>
      <c r="BL39" s="61"/>
      <c r="BM39" s="61"/>
      <c r="BN39" s="61"/>
      <c r="BO39" s="61"/>
      <c r="BP39" s="61"/>
      <c r="BQ39" s="61"/>
      <c r="BR39" s="61"/>
    </row>
    <row r="40" ht="15.75" customHeight="1">
      <c r="A40" s="61" t="str">
        <f>IFERROR(__xludf.DUMMYFUNCTION("""COMPUTED_VALUE"""),"Partial")</f>
        <v>Partial</v>
      </c>
      <c r="B40" s="62">
        <f>IFERROR(__xludf.DUMMYFUNCTION("""COMPUTED_VALUE"""),53.0)</f>
        <v>53</v>
      </c>
      <c r="C40" s="61" t="str">
        <f>IFERROR(__xludf.DUMMYFUNCTION("""COMPUTED_VALUE"""),"Partial")</f>
        <v>Partial</v>
      </c>
      <c r="D40" s="63" t="str">
        <f>IFERROR(__xludf.DUMMYFUNCTION("""COMPUTED_VALUE"""),"Submitted")</f>
        <v>Submitted</v>
      </c>
      <c r="E40" s="63">
        <f>IFERROR(__xludf.DUMMYFUNCTION("""COMPUTED_VALUE"""),46192.40069444444)</f>
        <v>46192.40069</v>
      </c>
      <c r="F40" s="61" t="str">
        <f>IFERROR(__xludf.DUMMYFUNCTION("""COMPUTED_VALUE"""),"Megande Hounhouedo")</f>
        <v>Megande Hounhouedo</v>
      </c>
      <c r="G40" s="61" t="str">
        <f>IFERROR(__xludf.DUMMYFUNCTION("""COMPUTED_VALUE"""),"Mègandé Ashbelle Giscardine Radia Hounhouedo")</f>
        <v>Mègandé Ashbelle Giscardine Radia Hounhouedo</v>
      </c>
      <c r="H40" s="61" t="str">
        <f>IFERROR(__xludf.DUMMYFUNCTION("""COMPUTED_VALUE"""),"ashbelleradia@gmail.com")</f>
        <v>ashbelleradia@gmail.com</v>
      </c>
      <c r="I40" s="61" t="str">
        <f>IFERROR(__xludf.DUMMYFUNCTION("""COMPUTED_VALUE"""),"1goldendreamer1@gmail.com")</f>
        <v>1goldendreamer1@gmail.com</v>
      </c>
      <c r="J40" s="61" t="str">
        <f>IFERROR(__xludf.DUMMYFUNCTION("""COMPUTED_VALUE"""),"19 Robinson Ave, Ottawa, Canada")</f>
        <v>19 Robinson Ave, Ottawa, Canada</v>
      </c>
      <c r="K40" s="61" t="str">
        <f>IFERROR(__xludf.DUMMYFUNCTION("""COMPUTED_VALUE"""),"Benin")</f>
        <v>Benin</v>
      </c>
      <c r="L40" s="64" t="str">
        <f>IFERROR(__xludf.DUMMYFUNCTION("""COMPUTED_VALUE"""),"3435760222")</f>
        <v>3435760222</v>
      </c>
      <c r="M40" s="64">
        <f>IFERROR(__xludf.DUMMYFUNCTION("""COMPUTED_VALUE"""),37965.0)</f>
        <v>37965</v>
      </c>
      <c r="N40" s="61" t="str">
        <f>IFERROR(__xludf.DUMMYFUNCTION("""COMPUTED_VALUE"""),"21PP07195")</f>
        <v>21PP07195</v>
      </c>
      <c r="O40" s="61" t="str">
        <f>IFERROR(__xludf.DUMMYFUNCTION("""COMPUTED_VALUE"""),"8193198122")</f>
        <v>8193198122</v>
      </c>
      <c r="P40" s="67" t="str">
        <f>IFERROR(__xludf.DUMMYFUNCTION("""COMPUTED_VALUE"""),"https://www.linkedin.com/in/ashbelle-hounhouedo-megande/")</f>
        <v>https://www.linkedin.com/in/ashbelle-hounhouedo-megande/</v>
      </c>
      <c r="Q40" s="61"/>
      <c r="R40" s="61"/>
      <c r="S40" s="61" t="str">
        <f>IFERROR(__xludf.DUMMYFUNCTION("""COMPUTED_VALUE"""),"Ashbelle_new_passport.pdf")</f>
        <v>Ashbelle_new_passport.pdf</v>
      </c>
      <c r="T40" s="61" t="str">
        <f>IFERROR(__xludf.DUMMYFUNCTION("""COMPUTED_VALUE"""),"_DSC7861.jpeg")</f>
        <v>_DSC7861.jpeg</v>
      </c>
      <c r="U40" s="61" t="str">
        <f>IFERROR(__xludf.DUMMYFUNCTION("""COMPUTED_VALUE"""),"Bachelors Of Social Science")</f>
        <v>Bachelors Of Social Science</v>
      </c>
      <c r="V40" s="61" t="str">
        <f>IFERROR(__xludf.DUMMYFUNCTION("""COMPUTED_VALUE"""),"International Economics and Globalisation")</f>
        <v>International Economics and Globalisation</v>
      </c>
      <c r="W40" s="61"/>
      <c r="X40" s="61" t="str">
        <f>IFERROR(__xludf.DUMMYFUNCTION("""COMPUTED_VALUE"""),"University of Ottawa")</f>
        <v>University of Ottawa</v>
      </c>
      <c r="Y40" s="61" t="str">
        <f>IFERROR(__xludf.DUMMYFUNCTION("""COMPUTED_VALUE"""),"No")</f>
        <v>No</v>
      </c>
      <c r="Z40" s="61" t="str">
        <f>IFERROR(__xludf.DUMMYFUNCTION("""COMPUTED_VALUE"""),"Canada")</f>
        <v>Canada</v>
      </c>
      <c r="AA40" s="61" t="str">
        <f>IFERROR(__xludf.DUMMYFUNCTION("""COMPUTED_VALUE"""),"No")</f>
        <v>No</v>
      </c>
      <c r="AB40" s="61"/>
      <c r="AC40" s="61" t="str">
        <f>IFERROR(__xludf.DUMMYFUNCTION("""COMPUTED_VALUE"""),"yes")</f>
        <v>yes</v>
      </c>
      <c r="AD40" s="61" t="str">
        <f>IFERROR(__xludf.DUMMYFUNCTION("""COMPUTED_VALUE"""),"yes")</f>
        <v>yes</v>
      </c>
      <c r="AE40" s="65" t="str">
        <f>IFERROR(__xludf.DUMMYFUNCTION("""COMPUTED_VALUE"""),"https://sternaafrica.org/antenne.php?nom=C%C3%B4te+Ivoire")</f>
        <v>https://sternaafrica.org/antenne.php?nom=C%C3%B4te+Ivoire</v>
      </c>
      <c r="AF40" s="61" t="str">
        <f>IFERROR(__xludf.DUMMYFUNCTION("""COMPUTED_VALUE"""),"Volunteer")</f>
        <v>Volunteer</v>
      </c>
      <c r="AG40" s="61" t="str">
        <f>IFERROR(__xludf.DUMMYFUNCTION("""COMPUTED_VALUE"""),"2")</f>
        <v>2</v>
      </c>
      <c r="AH40" s="61" t="str">
        <f>IFERROR(__xludf.DUMMYFUNCTION("""COMPUTED_VALUE"""),"No")</f>
        <v>No</v>
      </c>
      <c r="AI40" s="61"/>
      <c r="AJ40" s="61" t="str">
        <f>IFERROR(__xludf.DUMMYFUNCTION("""COMPUTED_VALUE"""),"yes")</f>
        <v>yes</v>
      </c>
      <c r="AK40" s="61" t="str">
        <f>IFERROR(__xludf.DUMMYFUNCTION("""COMPUTED_VALUE"""),"I founded the Benin Students’ Association at the University of Ottawa (AEBSA) to support the academic, social, and professional integration of Beninese students while promoting cultural exchange and community engagement on campus. The organization aims to"&amp;" create a supportive network for students, celebrate Beninese culture, develop leadership skills, and foster connections between students from diverse backgrounds through educational, cultural, and community-focused initiatives.")</f>
        <v>I founded the Benin Students’ Association at the University of Ottawa (AEBSA) to support the academic, social, and professional integration of Beninese students while promoting cultural exchange and community engagement on campus. The organization aims to create a supportive network for students, celebrate Beninese culture, develop leadership skills, and foster connections between students from diverse backgrounds through educational, cultural, and community-focused initiatives.</v>
      </c>
      <c r="AL40" s="61" t="str">
        <f>IFERROR(__xludf.DUMMYFUNCTION("""COMPUTED_VALUE"""),"Leadership, Public Speaking, Project Management, Youth Engagement, Community Outreach, Cross-Cultural Communication, Stakeholder Engagement, Advocacy, Event Coordination, and Bilingual Communication (English/French).")</f>
        <v>Leadership, Public Speaking, Project Management, Youth Engagement, Community Outreach, Cross-Cultural Communication, Stakeholder Engagement, Advocacy, Event Coordination, and Bilingual Communication (English/French).</v>
      </c>
      <c r="AM40" s="61" t="str">
        <f>IFERROR(__xludf.DUMMYFUNCTION("""COMPUTED_VALUE"""),"Megande_Ashbelle_Resume.pdf")</f>
        <v>Megande_Ashbelle_Resume.pdf</v>
      </c>
      <c r="AN40" s="61" t="str">
        <f>IFERROR(__xludf.DUMMYFUNCTION("""COMPUTED_VALUE"""),"Yes. I believe meaningful change begins at the community level. Rather than waiting for change to happen, I have taken action through youth leadership, education, and community engagement. I founded the Benin Students’ Association at the University of Ott"&amp;"awa to create a support network for students and promote cultural understanding. I also coordinated community projects in Côte d’Ivoire, delivering workshops on education, health awareness, and youth empowerment to over 100 young people. More recently, I "&amp;"secured funding for a youth-led initiative promoting social inclusion and intercultural dialogue. These experiences have shown me that even small actions can create a lasting impact.")</f>
        <v>Yes. I believe meaningful change begins at the community level. Rather than waiting for change to happen, I have taken action through youth leadership, education, and community engagement. I founded the Benin Students’ Association at the University of Ottawa to create a support network for students and promote cultural understanding. I also coordinated community projects in Côte d’Ivoire, delivering workshops on education, health awareness, and youth empowerment to over 100 young people. More recently, I secured funding for a youth-led initiative promoting social inclusion and intercultural dialogue. These experiences have shown me that even small actions can create a lasting impact.</v>
      </c>
      <c r="AO40" s="61" t="str">
        <f>IFERROR(__xludf.DUMMYFUNCTION("""COMPUTED_VALUE"""),"I do not believe there is a single “most diplomatically significant” country in the world. Every nation, regardless of its size, economic strength, or political influence, plays a unique and important role in the international system. While some countries"&amp;" may possess greater military, economic, or diplomatic power, global challenges such as climate change, migration, public health, and peacebuilding require contributions from nations of all sizes. Diplomacy is most effective when every country has the opp"&amp;"ortunity to participate and have its voice heard. True international cooperation is built on mutual respect, inclusivity, and recognition that every nation contributes to our shared future.")</f>
        <v>I do not believe there is a single “most diplomatically significant” country in the world. Every nation, regardless of its size, economic strength, or political influence, plays a unique and important role in the international system. While some countries may possess greater military, economic, or diplomatic power, global challenges such as climate change, migration, public health, and peacebuilding require contributions from nations of all sizes. Diplomacy is most effective when every country has the opportunity to participate and have its voice heard. True international cooperation is built on mutual respect, inclusivity, and recognition that every nation contributes to our shared future.</v>
      </c>
      <c r="AP40" s="61" t="str">
        <f>IFERROR(__xludf.DUMMYFUNCTION("""COMPUTED_VALUE"""),"Youth play a vital role in diplomacy because they bring new perspectives, challenge existing assumptions, and help build bridges across cultures and communities. As future leaders, young people should not only be consulted on issues that affect them but a"&amp;"ctively involved in shaping solutions to local and global challenges.
I strongly relate to the concept of public diplomacy because I believe diplomacy is not limited to formal negotiations between governments. It is also about building understanding, tru"&amp;"st, and cooperation between people from different backgrounds.
My experience with STERNA Africa in Côte d’Ivoire showed me the power of people-centered diplomacy. Working directly with children, adolescents, educators, and community leaders, I facilitate"&amp;"d workshops on educational success, menstrual health, youth leadership, substance abuse prevention, and social inclusion. Through these initiatives, I learned how dialogue, education, and cultural understanding can empower individuals and strengthen commu"&amp;"nities. I also led a girls’ basketball empowerment program that used sport as a platform to promote confidence, leadership, and health awareness among young women.
In addition, as the Founder and President of the Benin Students’ Association at the Univer"&amp;"sity of Ottawa, I have promoted intercultural exchange and community engagement among students from diverse backgrounds.
These experiences have taught me that diplomacy begins with people, and that youth have the power to foster understanding, inclusion,"&amp;" and positive change at every level of society.")</f>
        <v>Youth play a vital role in diplomacy because they bring new perspectives, challenge existing assumptions, and help build bridges across cultures and communities. As future leaders, young people should not only be consulted on issues that affect them but actively involved in shaping solutions to local and global challenges.
I strongly relate to the concept of public diplomacy because I believe diplomacy is not limited to formal negotiations between governments. It is also about building understanding, trust, and cooperation between people from different backgrounds.
My experience with STERNA Africa in Côte d’Ivoire showed me the power of people-centered diplomacy. Working directly with children, adolescents, educators, and community leaders, I facilitated workshops on educational success, menstrual health, youth leadership, substance abuse prevention, and social inclusion. Through these initiatives, I learned how dialogue, education, and cultural understanding can empower individuals and strengthen communities. I also led a girls’ basketball empowerment program that used sport as a platform to promote confidence, leadership, and health awareness among young women.
In addition, as the Founder and President of the Benin Students’ Association at the University of Ottawa, I have promoted intercultural exchange and community engagement among students from diverse backgrounds.
These experiences have taught me that diplomacy begins with people, and that youth have the power to foster understanding, inclusion, and positive change at every level of society.</v>
      </c>
      <c r="AQ40" s="61" t="str">
        <f>IFERROR(__xludf.DUMMYFUNCTION("""COMPUTED_VALUE"""),"Passion is the deep sense of purpose that motivates us to keep moving forward, even when challenges arise. It is more than enthusiasm; it is the commitment to invest time, energy, and effort into something we genuinely care about. Passion provides directi"&amp;"on, resilience, and the determination needed to transform ideas into meaningful action.
In my own life, passion has been the driving force behind my involvement in youth empowerment, community development, and intercultural engagement. It motivated me to"&amp;" volunteer in Côte d’Ivoire, where I worked with young people on educational and health awareness initiatives, and it inspired me to create opportunities for cultural exchange and community building through student leadership. These experiences required d"&amp;"edication, adaptability, and perseverance, but my passion for creating positive impact kept me focused on my goals.
I believe passion is what turns aspirations into achievements. It helps individuals remain committed to their vision, overcome obstacles, "&amp;"and continue growing while making a meaningful contribution to their communities and the world.")</f>
        <v>Passion is the deep sense of purpose that motivates us to keep moving forward, even when challenges arise. It is more than enthusiasm; it is the commitment to invest time, energy, and effort into something we genuinely care about. Passion provides direction, resilience, and the determination needed to transform ideas into meaningful action.
In my own life, passion has been the driving force behind my involvement in youth empowerment, community development, and intercultural engagement. It motivated me to volunteer in Côte d’Ivoire, where I worked with young people on educational and health awareness initiatives, and it inspired me to create opportunities for cultural exchange and community building through student leadership. These experiences required dedication, adaptability, and perseverance, but my passion for creating positive impact kept me focused on my goals.
I believe passion is what turns aspirations into achievements. It helps individuals remain committed to their vision, overcome obstacles, and continue growing while making a meaningful contribution to their communities and the world.</v>
      </c>
      <c r="AR40" s="61" t="str">
        <f>IFERROR(__xludf.DUMMYFUNCTION("""COMPUTED_VALUE"""),"Yes, I consider myself a creative person. To me, creativity is not limited to art or design; it is the ability to find innovative ways to connect with people, communicate ideas, and solve problems. Throughout my community engagement work, I have learned t"&amp;"hat creativity is often essential for making important messages accessible, engaging, and impactful.
I have applied creativity in several ways, including designing educational workshops, producing videos for community awareness campaigns, organizing cult"&amp;"ural events, and developing youth-centered activities that encourage participation and dialogue. During my work with STERNA Africa in Côte d’Ivoire, I helped facilitate workshops on topics such as educational success, menstrual health, substance abuse pre"&amp;"vention, and youth empowerment. We used interactive discussions, games, sports, and storytelling to make complex topics relatable and engaging for young participants.
I believe creativity is a powerful tool in public diplomacy because it helps build conn"&amp;"ections across cultures and communities. An effective public diplomacy strategy should go beyond formal communication and create opportunities for people to engage, share experiences, and learn from one another. Through cultural exchange, storytelling, di"&amp;"gital media, sports, and community initiatives, public diplomacy can foster mutual understanding and trust.
By combining creativity with empathy and communication, it is possible to inspire dialogue, strengthen relationships, and promote positive change "&amp;"across diverse communities.")</f>
        <v>Yes, I consider myself a creative person. To me, creativity is not limited to art or design; it is the ability to find innovative ways to connect with people, communicate ideas, and solve problems. Throughout my community engagement work, I have learned that creativity is often essential for making important messages accessible, engaging, and impactful.
I have applied creativity in several ways, including designing educational workshops, producing videos for community awareness campaigns, organizing cultural events, and developing youth-centered activities that encourage participation and dialogue. During my work with STERNA Africa in Côte d’Ivoire, I helped facilitate workshops on topics such as educational success, menstrual health, substance abuse prevention, and youth empowerment. We used interactive discussions, games, sports, and storytelling to make complex topics relatable and engaging for young participants.
I believe creativity is a powerful tool in public diplomacy because it helps build connections across cultures and communities. An effective public diplomacy strategy should go beyond formal communication and create opportunities for people to engage, share experiences, and learn from one another. Through cultural exchange, storytelling, digital media, sports, and community initiatives, public diplomacy can foster mutual understanding and trust.
By combining creativity with empathy and communication, it is possible to inspire dialogue, strengthen relationships, and promote positive change across diverse communities.</v>
      </c>
      <c r="AS40" s="61" t="str">
        <f>IFERROR(__xludf.DUMMYFUNCTION("""COMPUTED_VALUE"""),"Yes")</f>
        <v>Yes</v>
      </c>
      <c r="AT40" s="61" t="str">
        <f>IFERROR(__xludf.DUMMYFUNCTION("""COMPUTED_VALUE"""),"Yes")</f>
        <v>Yes</v>
      </c>
      <c r="AU40" s="61" t="str">
        <f>IFERROR(__xludf.DUMMYFUNCTION("""COMPUTED_VALUE"""),"Global Politics, Diplomacy &amp; Identities")</f>
        <v>Global Politics, Diplomacy &amp; Identities</v>
      </c>
      <c r="AV40" s="61" t="str">
        <f>IFERROR(__xludf.DUMMYFUNCTION("""COMPUTED_VALUE"""),"TikTok")</f>
        <v>TikTok</v>
      </c>
      <c r="AW40" s="61"/>
      <c r="AX40" s="66" t="str">
        <f>IFERROR(__xludf.DUMMYFUNCTION("""COMPUTED_VALUE"""),"Yes")</f>
        <v>Yes</v>
      </c>
      <c r="AY40" s="66">
        <f>IFERROR(__xludf.DUMMYFUNCTION("""COMPUTED_VALUE"""),15.99)</f>
        <v>15.99</v>
      </c>
      <c r="AZ40" s="61"/>
      <c r="BA40" s="61"/>
      <c r="BB40" s="61"/>
      <c r="BC40" s="61"/>
      <c r="BD40" s="61"/>
      <c r="BE40" s="61"/>
      <c r="BF40" s="61"/>
      <c r="BG40" s="61"/>
      <c r="BH40" s="61"/>
      <c r="BI40" s="61"/>
      <c r="BJ40" s="61"/>
      <c r="BK40" s="61"/>
      <c r="BL40" s="61"/>
      <c r="BM40" s="61"/>
      <c r="BN40" s="61"/>
      <c r="BO40" s="61"/>
      <c r="BP40" s="61"/>
      <c r="BQ40" s="61"/>
      <c r="BR40" s="61"/>
    </row>
    <row r="41" ht="15.75" customHeight="1">
      <c r="A41" s="61"/>
      <c r="B41" s="62">
        <f>IFERROR(__xludf.DUMMYFUNCTION("""COMPUTED_VALUE"""),54.0)</f>
        <v>54</v>
      </c>
      <c r="C41" s="61" t="str">
        <f>IFERROR(__xludf.DUMMYFUNCTION("""COMPUTED_VALUE"""),"Self")</f>
        <v>Self</v>
      </c>
      <c r="D41" s="63" t="str">
        <f>IFERROR(__xludf.DUMMYFUNCTION("""COMPUTED_VALUE"""),"Submitted")</f>
        <v>Submitted</v>
      </c>
      <c r="E41" s="63">
        <f>IFERROR(__xludf.DUMMYFUNCTION("""COMPUTED_VALUE"""),46192.79097222222)</f>
        <v>46192.79097</v>
      </c>
      <c r="F41" s="61" t="str">
        <f>IFERROR(__xludf.DUMMYFUNCTION("""COMPUTED_VALUE"""),"Binyameen A Wahid")</f>
        <v>Binyameen A Wahid</v>
      </c>
      <c r="G41" s="61" t="str">
        <f>IFERROR(__xludf.DUMMYFUNCTION("""COMPUTED_VALUE"""),"Binyameen A Wahid")</f>
        <v>Binyameen A Wahid</v>
      </c>
      <c r="H41" s="61" t="str">
        <f>IFERROR(__xludf.DUMMYFUNCTION("""COMPUTED_VALUE"""),"programs@thecipe.org")</f>
        <v>programs@thecipe.org</v>
      </c>
      <c r="I41" s="61" t="str">
        <f>IFERROR(__xludf.DUMMYFUNCTION("""COMPUTED_VALUE"""),"programs@thecipe.org")</f>
        <v>programs@thecipe.org</v>
      </c>
      <c r="J41" s="61" t="str">
        <f>IFERROR(__xludf.DUMMYFUNCTION("""COMPUTED_VALUE"""),"Master City, Gujranwala, Pakistan")</f>
        <v>Master City, Gujranwala, Pakistan</v>
      </c>
      <c r="K41" s="61" t="str">
        <f>IFERROR(__xludf.DUMMYFUNCTION("""COMPUTED_VALUE"""),"Pakistani")</f>
        <v>Pakistani</v>
      </c>
      <c r="L41" s="64" t="str">
        <f>IFERROR(__xludf.DUMMYFUNCTION("""COMPUTED_VALUE"""),"+92 303 9507928")</f>
        <v>+92 303 9507928</v>
      </c>
      <c r="M41" s="64">
        <f>IFERROR(__xludf.DUMMYFUNCTION("""COMPUTED_VALUE"""),36538.0)</f>
        <v>36538</v>
      </c>
      <c r="N41" s="61" t="str">
        <f>IFERROR(__xludf.DUMMYFUNCTION("""COMPUTED_VALUE"""),"AX3747251")</f>
        <v>AX3747251</v>
      </c>
      <c r="O41" s="61" t="str">
        <f>IFERROR(__xludf.DUMMYFUNCTION("""COMPUTED_VALUE"""),"+92 303 9507928")</f>
        <v>+92 303 9507928</v>
      </c>
      <c r="P41" s="61"/>
      <c r="Q41" s="61"/>
      <c r="R41" s="61"/>
      <c r="S41" s="61" t="str">
        <f>IFERROR(__xludf.DUMMYFUNCTION("""COMPUTED_VALUE"""),"Passport-2.pdf")</f>
        <v>Passport-2.pdf</v>
      </c>
      <c r="T41" s="61" t="str">
        <f>IFERROR(__xludf.DUMMYFUNCTION("""COMPUTED_VALUE"""),"Screenshot 2026-06-19 at 5.40.27 PM.png")</f>
        <v>Screenshot 2026-06-19 at 5.40.27 PM.png</v>
      </c>
      <c r="U41" s="61" t="str">
        <f>IFERROR(__xludf.DUMMYFUNCTION("""COMPUTED_VALUE"""),"Bachelors")</f>
        <v>Bachelors</v>
      </c>
      <c r="V41" s="61" t="str">
        <f>IFERROR(__xludf.DUMMYFUNCTION("""COMPUTED_VALUE"""),"Environmental Sciences")</f>
        <v>Environmental Sciences</v>
      </c>
      <c r="W41" s="61" t="str">
        <f>IFERROR(__xludf.DUMMYFUNCTION("""COMPUTED_VALUE"""),"Climate Policy")</f>
        <v>Climate Policy</v>
      </c>
      <c r="X41" s="61" t="str">
        <f>IFERROR(__xludf.DUMMYFUNCTION("""COMPUTED_VALUE"""),"University of Gujarat")</f>
        <v>University of Gujarat</v>
      </c>
      <c r="Y41" s="61" t="str">
        <f>IFERROR(__xludf.DUMMYFUNCTION("""COMPUTED_VALUE"""),"No")</f>
        <v>No</v>
      </c>
      <c r="Z41" s="61" t="str">
        <f>IFERROR(__xludf.DUMMYFUNCTION("""COMPUTED_VALUE"""),"Pakistan")</f>
        <v>Pakistan</v>
      </c>
      <c r="AA41" s="61" t="str">
        <f>IFERROR(__xludf.DUMMYFUNCTION("""COMPUTED_VALUE"""),"No")</f>
        <v>No</v>
      </c>
      <c r="AB41" s="61"/>
      <c r="AC41" s="61" t="str">
        <f>IFERROR(__xludf.DUMMYFUNCTION("""COMPUTED_VALUE"""),"Yes, I am")</f>
        <v>Yes, I am</v>
      </c>
      <c r="AD41" s="61" t="str">
        <f>IFERROR(__xludf.DUMMYFUNCTION("""COMPUTED_VALUE"""),"Yes, CSCD")</f>
        <v>Yes, CSCD</v>
      </c>
      <c r="AE41" s="65" t="str">
        <f>IFERROR(__xludf.DUMMYFUNCTION("""COMPUTED_VALUE"""),"https://www.thecscd.org")</f>
        <v>https://www.thecscd.org</v>
      </c>
      <c r="AF41" s="61" t="str">
        <f>IFERROR(__xludf.DUMMYFUNCTION("""COMPUTED_VALUE"""),"Academic Coordinator")</f>
        <v>Academic Coordinator</v>
      </c>
      <c r="AG41" s="61" t="str">
        <f>IFERROR(__xludf.DUMMYFUNCTION("""COMPUTED_VALUE"""),"1")</f>
        <v>1</v>
      </c>
      <c r="AH41" s="61" t="str">
        <f>IFERROR(__xludf.DUMMYFUNCTION("""COMPUTED_VALUE"""),"No")</f>
        <v>No</v>
      </c>
      <c r="AI41" s="61"/>
      <c r="AJ41" s="61" t="str">
        <f>IFERROR(__xludf.DUMMYFUNCTION("""COMPUTED_VALUE"""),"No")</f>
        <v>No</v>
      </c>
      <c r="AK41" s="61"/>
      <c r="AL41" s="61" t="str">
        <f>IFERROR(__xludf.DUMMYFUNCTION("""COMPUTED_VALUE"""),"Writer")</f>
        <v>Writer</v>
      </c>
      <c r="AM41" s="61" t="str">
        <f>IFERROR(__xludf.DUMMYFUNCTION("""COMPUTED_VALUE"""),"Binyameen_CV (4).pdf")</f>
        <v>Binyameen_CV (4).pdf</v>
      </c>
      <c r="AN41" s="61" t="str">
        <f>IFERROR(__xludf.DUMMYFUNCTION("""COMPUTED_VALUE"""),"Changing the world is a myth, yet a sweet lie that we often think about. But, yes, change begins with the thought.")</f>
        <v>Changing the world is a myth, yet a sweet lie that we often think about. But, yes, change begins with the thought.</v>
      </c>
      <c r="AO41" s="61" t="str">
        <f>IFERROR(__xludf.DUMMYFUNCTION("""COMPUTED_VALUE"""),"I think Pakistan's role in mediating the current Iran-Israel-US tensions has been remarkable and indeed diplomatically successful.")</f>
        <v>I think Pakistan's role in mediating the current Iran-Israel-US tensions has been remarkable and indeed diplomatically successful.</v>
      </c>
      <c r="AP41" s="61" t="str">
        <f>IFERROR(__xludf.DUMMYFUNCTION("""COMPUTED_VALUE"""),"Youth defines diplomacy, and diplomacy begins by inclusion of youth in policymaking.")</f>
        <v>Youth defines diplomacy, and diplomacy begins by inclusion of youth in policymaking.</v>
      </c>
      <c r="AQ41" s="61" t="str">
        <f>IFERROR(__xludf.DUMMYFUNCTION("""COMPUTED_VALUE"""),"Passion is the reason behind justification of all risks involved in exploration of new goals and ideas.")</f>
        <v>Passion is the reason behind justification of all risks involved in exploration of new goals and ideas.</v>
      </c>
      <c r="AR41" s="61" t="str">
        <f>IFERROR(__xludf.DUMMYFUNCTION("""COMPUTED_VALUE"""),"I am, indeed. I see the world through the lens of art, and art alone.")</f>
        <v>I am, indeed. I see the world through the lens of art, and art alone.</v>
      </c>
      <c r="AS41" s="61" t="str">
        <f>IFERROR(__xludf.DUMMYFUNCTION("""COMPUTED_VALUE"""),"Yes")</f>
        <v>Yes</v>
      </c>
      <c r="AT41" s="61" t="str">
        <f>IFERROR(__xludf.DUMMYFUNCTION("""COMPUTED_VALUE"""),"Yes")</f>
        <v>Yes</v>
      </c>
      <c r="AU41" s="61" t="str">
        <f>IFERROR(__xludf.DUMMYFUNCTION("""COMPUTED_VALUE"""),"Global Politics, Diplomacy &amp; Identities")</f>
        <v>Global Politics, Diplomacy &amp; Identities</v>
      </c>
      <c r="AV41" s="61" t="str">
        <f>IFERROR(__xludf.DUMMYFUNCTION("""COMPUTED_VALUE"""),"Social Media")</f>
        <v>Social Media</v>
      </c>
      <c r="AW41" s="61"/>
      <c r="AX41" s="66" t="str">
        <f>IFERROR(__xludf.DUMMYFUNCTION("""COMPUTED_VALUE"""),"Yes")</f>
        <v>Yes</v>
      </c>
      <c r="AY41" s="66">
        <f>IFERROR(__xludf.DUMMYFUNCTION("""COMPUTED_VALUE"""),15.99)</f>
        <v>15.99</v>
      </c>
      <c r="AZ41" s="61"/>
      <c r="BA41" s="61"/>
      <c r="BB41" s="61"/>
      <c r="BC41" s="61"/>
      <c r="BD41" s="61"/>
      <c r="BE41" s="61"/>
      <c r="BF41" s="61"/>
      <c r="BG41" s="61"/>
      <c r="BH41" s="61"/>
      <c r="BI41" s="61"/>
      <c r="BJ41" s="61"/>
      <c r="BK41" s="61"/>
      <c r="BL41" s="61"/>
      <c r="BM41" s="61"/>
      <c r="BN41" s="61"/>
      <c r="BO41" s="61"/>
      <c r="BP41" s="61"/>
      <c r="BQ41" s="61"/>
      <c r="BR41" s="61"/>
    </row>
    <row r="42" ht="15.75" customHeight="1">
      <c r="A42" s="61" t="str">
        <f>IFERROR(__xludf.DUMMYFUNCTION("""COMPUTED_VALUE"""),"Partial")</f>
        <v>Partial</v>
      </c>
      <c r="B42" s="62">
        <f>IFERROR(__xludf.DUMMYFUNCTION("""COMPUTED_VALUE"""),55.0)</f>
        <v>55</v>
      </c>
      <c r="C42" s="61" t="str">
        <f>IFERROR(__xludf.DUMMYFUNCTION("""COMPUTED_VALUE"""),"Partial")</f>
        <v>Partial</v>
      </c>
      <c r="D42" s="63" t="str">
        <f>IFERROR(__xludf.DUMMYFUNCTION("""COMPUTED_VALUE"""),"Submitted")</f>
        <v>Submitted</v>
      </c>
      <c r="E42" s="63">
        <f>IFERROR(__xludf.DUMMYFUNCTION("""COMPUTED_VALUE"""),46192.9125)</f>
        <v>46192.9125</v>
      </c>
      <c r="F42" s="61" t="str">
        <f>IFERROR(__xludf.DUMMYFUNCTION("""COMPUTED_VALUE"""),"Vartika Joshi")</f>
        <v>Vartika Joshi</v>
      </c>
      <c r="G42" s="61" t="str">
        <f>IFERROR(__xludf.DUMMYFUNCTION("""COMPUTED_VALUE"""),"Vartika Joshi")</f>
        <v>Vartika Joshi</v>
      </c>
      <c r="H42" s="61" t="str">
        <f>IFERROR(__xludf.DUMMYFUNCTION("""COMPUTED_VALUE"""),"vartikajoshi30@gmail.com")</f>
        <v>vartikajoshi30@gmail.com</v>
      </c>
      <c r="I42" s="61" t="str">
        <f>IFERROR(__xludf.DUMMYFUNCTION("""COMPUTED_VALUE"""),"himi8666@gmail.com")</f>
        <v>himi8666@gmail.com</v>
      </c>
      <c r="J42" s="61" t="str">
        <f>IFERROR(__xludf.DUMMYFUNCTION("""COMPUTED_VALUE"""),"Ellidabraut 18, 110, Reykjavik, India")</f>
        <v>Ellidabraut 18, 110, Reykjavik, India</v>
      </c>
      <c r="K42" s="61" t="str">
        <f>IFERROR(__xludf.DUMMYFUNCTION("""COMPUTED_VALUE"""),"India")</f>
        <v>India</v>
      </c>
      <c r="L42" s="64" t="str">
        <f>IFERROR(__xludf.DUMMYFUNCTION("""COMPUTED_VALUE"""),"7689899")</f>
        <v>7689899</v>
      </c>
      <c r="M42" s="64">
        <f>IFERROR(__xludf.DUMMYFUNCTION("""COMPUTED_VALUE"""),32811.0)</f>
        <v>32811</v>
      </c>
      <c r="N42" s="61" t="str">
        <f>IFERROR(__xludf.DUMMYFUNCTION("""COMPUTED_VALUE"""),"U0078878")</f>
        <v>U0078878</v>
      </c>
      <c r="O42" s="61" t="str">
        <f>IFERROR(__xludf.DUMMYFUNCTION("""COMPUTED_VALUE"""),"9667091124")</f>
        <v>9667091124</v>
      </c>
      <c r="P42" s="67" t="str">
        <f>IFERROR(__xludf.DUMMYFUNCTION("""COMPUTED_VALUE"""),"https://www.linkedin.com")</f>
        <v>https://www.linkedin.com</v>
      </c>
      <c r="Q42" s="61" t="str">
        <f>IFERROR(__xludf.DUMMYFUNCTION("""COMPUTED_VALUE"""),"@himi8666")</f>
        <v>@himi8666</v>
      </c>
      <c r="R42" s="61" t="str">
        <f>IFERROR(__xludf.DUMMYFUNCTION("""COMPUTED_VALUE"""),"@vartikajoshi")</f>
        <v>@vartikajoshi</v>
      </c>
      <c r="S42" s="61" t="str">
        <f>IFERROR(__xludf.DUMMYFUNCTION("""COMPUTED_VALUE"""),"Passport Vartika Joshi .pdf")</f>
        <v>Passport Vartika Joshi .pdf</v>
      </c>
      <c r="T42" s="61" t="str">
        <f>IFERROR(__xludf.DUMMYFUNCTION("""COMPUTED_VALUE"""),"IMG_7576.jpeg")</f>
        <v>IMG_7576.jpeg</v>
      </c>
      <c r="U42" s="61" t="str">
        <f>IFERROR(__xludf.DUMMYFUNCTION("""COMPUTED_VALUE"""),"PG Diploma")</f>
        <v>PG Diploma</v>
      </c>
      <c r="V42" s="61" t="str">
        <f>IFERROR(__xludf.DUMMYFUNCTION("""COMPUTED_VALUE"""),"Naval Architecture")</f>
        <v>Naval Architecture</v>
      </c>
      <c r="W42" s="61"/>
      <c r="X42" s="61" t="str">
        <f>IFERROR(__xludf.DUMMYFUNCTION("""COMPUTED_VALUE"""),"Indian Institute of Technology, Delhi")</f>
        <v>Indian Institute of Technology, Delhi</v>
      </c>
      <c r="Y42" s="61" t="str">
        <f>IFERROR(__xludf.DUMMYFUNCTION("""COMPUTED_VALUE"""),"No")</f>
        <v>No</v>
      </c>
      <c r="Z42" s="61" t="str">
        <f>IFERROR(__xludf.DUMMYFUNCTION("""COMPUTED_VALUE"""),"India")</f>
        <v>India</v>
      </c>
      <c r="AA42" s="61" t="str">
        <f>IFERROR(__xludf.DUMMYFUNCTION("""COMPUTED_VALUE"""),"No")</f>
        <v>No</v>
      </c>
      <c r="AB42" s="61"/>
      <c r="AC42" s="61"/>
      <c r="AD42" s="61" t="str">
        <f>IFERROR(__xludf.DUMMYFUNCTION("""COMPUTED_VALUE"""),"Tieedi")</f>
        <v>Tieedi</v>
      </c>
      <c r="AE42" s="61"/>
      <c r="AF42" s="61"/>
      <c r="AG42" s="61"/>
      <c r="AH42" s="61" t="str">
        <f>IFERROR(__xludf.DUMMYFUNCTION("""COMPUTED_VALUE"""),"No")</f>
        <v>No</v>
      </c>
      <c r="AI42" s="65" t="str">
        <f>IFERROR(__xludf.DUMMYFUNCTION("""COMPUTED_VALUE"""),"https://www.tieedi.in")</f>
        <v>https://www.tieedi.in</v>
      </c>
      <c r="AJ42" s="61" t="str">
        <f>IFERROR(__xludf.DUMMYFUNCTION("""COMPUTED_VALUE"""),"No")</f>
        <v>No</v>
      </c>
      <c r="AK42" s="61"/>
      <c r="AL42" s="61" t="str">
        <f>IFERROR(__xludf.DUMMYFUNCTION("""COMPUTED_VALUE"""),"A nature and youth promoter , ex sailor and Circumnavigator. currently working in environment services,the world’s first facility on Direct air capture as a facilities manager.")</f>
        <v>A nature and youth promoter , ex sailor and Circumnavigator. currently working in environment services,the world’s first facility on Direct air capture as a facilities manager.</v>
      </c>
      <c r="AM42" s="61" t="str">
        <f>IFERROR(__xludf.DUMMYFUNCTION("""COMPUTED_VALUE"""),"CV VARTIKA JOSHI - PM.docx")</f>
        <v>CV VARTIKA JOSHI - PM.docx</v>
      </c>
      <c r="AN42" s="61" t="str">
        <f>IFERROR(__xludf.DUMMYFUNCTION("""COMPUTED_VALUE"""),"Yes — though I’ve learned that changing the world begins with changing yourself first. As the first Asian woman to skipper an all-female circumnavigation, I sailed across oceans to show young people that boundaries are often self-imposed, not real. That j"&amp;"ourney taught me discipline, humility, and resilience I now bring to my work at Climeworks, the world’s first direct air capture facility, where I help build solutions to climate change at scale. Each step - from ocean to atmosphere - has been less about "&amp;"grand gestures and more about quiet, persistent commitment: to the sea, to the planet, and to becoming someone capable of the work.")</f>
        <v>Yes — though I’ve learned that changing the world begins with changing yourself first. As the first Asian woman to skipper an all-female circumnavigation, I sailed across oceans to show young people that boundaries are often self-imposed, not real. That journey taught me discipline, humility, and resilience I now bring to my work at Climeworks, the world’s first direct air capture facility, where I help build solutions to climate change at scale. Each step - from ocean to atmosphere - has been less about grand gestures and more about quiet, persistent commitment: to the sea, to the planet, and to becoming someone capable of the work.</v>
      </c>
      <c r="AO42" s="61" t="str">
        <f>IFERROR(__xludf.DUMMYFUNCTION("""COMPUTED_VALUE"""),"Iceland. A nation of under 400,000 people, yet it punches far above its weight diplomatically — bridging Europe, the Arctic, and North America, while leading globally on renewable energy and climate diplomacy. Living and working here at Climeworks, I’ve s"&amp;"een how Iceland’s quiet, pragmatic diplomacy , rooted in geothermal energy, ocean stewardship, and Arctic Council leadership - offers a model for soft power built on competence rather than military might. Having sailed through dozens of countries, I’ve co"&amp;"me to believe diplomatic significance isn’t always about size or wealth, but about a nation’s willingness to lead by example on shared global challenges like climate change.")</f>
        <v>Iceland. A nation of under 400,000 people, yet it punches far above its weight diplomatically — bridging Europe, the Arctic, and North America, while leading globally on renewable energy and climate diplomacy. Living and working here at Climeworks, I’ve seen how Iceland’s quiet, pragmatic diplomacy , rooted in geothermal energy, ocean stewardship, and Arctic Council leadership - offers a model for soft power built on competence rather than military might. Having sailed through dozens of countries, I’ve come to believe diplomatic significance isn’t always about size or wealth, but about a nation’s willingness to lead by example on shared global challenges like climate change.</v>
      </c>
      <c r="AP42" s="61" t="str">
        <f>IFERROR(__xludf.DUMMYFUNCTION("""COMPUTED_VALUE"""),"Youth are not the diplomats of tomorrow — they are diplomats today. In an interconnected world, young people build bridges across cultures through travel, sport, art, and shared causes long before they hold any formal title. They carry fewer historical gr"&amp;"ievances and more willingness to listen, which makes them powerful informal ambassadors at a time when formal diplomacy often moves too slowly for the urgency of issues like climate change.
I relate deeply to public diplomacy because my own journey has b"&amp;"een a form of it -without ever calling it that. When I skippered an all-female crew around the globe, we weren’t representing a government, yet everywhere we docked, we became informal ambassadors for India, for women, and for the idea that boundaries are"&amp;" more mental than real. Now, working at the world’s first direct air capture facility, I find myself again translating complex science into stories people can feel - between Iceland and the rest of the world, between climate policy and lived urgency.
Pub"&amp;"lic diplomacy, to me, is simply this: showing up as your authentic self, and letting your actions speak a language everyone understands.")</f>
        <v>Youth are not the diplomats of tomorrow — they are diplomats today. In an interconnected world, young people build bridges across cultures through travel, sport, art, and shared causes long before they hold any formal title. They carry fewer historical grievances and more willingness to listen, which makes them powerful informal ambassadors at a time when formal diplomacy often moves too slowly for the urgency of issues like climate change.
I relate deeply to public diplomacy because my own journey has been a form of it -without ever calling it that. When I skippered an all-female crew around the globe, we weren’t representing a government, yet everywhere we docked, we became informal ambassadors for India, for women, and for the idea that boundaries are more mental than real. Now, working at the world’s first direct air capture facility, I find myself again translating complex science into stories people can feel - between Iceland and the rest of the world, between climate policy and lived urgency.
Public diplomacy, to me, is simply this: showing up as your authentic self, and letting your actions speak a language everyone understands.</v>
      </c>
      <c r="AQ42" s="61" t="str">
        <f>IFERROR(__xludf.DUMMYFUNCTION("""COMPUTED_VALUE"""),"Passion, to me, isn’t a burst of excitement - it’s a quiet, stubborn commitment that survives boredom, fear, and failure. It’s what gets you up before dawn to train for a circumnavigation no one expects you to finish, or keeps you grounded in solving clim"&amp;"ate change even when the work is unglamorous and slow.
Passion has helped me achieve my goals by acting as an anchor during uncertainty. At sea, when storms tested every plan, it was passion - not perfection -that kept me steady. In my transition from th"&amp;"e Navy to ocean sailing to climate work, passion has been the thread connecting seemingly different chapters into one coherent purpose: protecting the natural world I’ve come to love.
It doesn’t always feel like fire. Often, it feels like patience. And i"&amp;"t’s that quiet, sustained patience - more than any single moment of inspiration -that has carried me furthest.")</f>
        <v>Passion, to me, isn’t a burst of excitement - it’s a quiet, stubborn commitment that survives boredom, fear, and failure. It’s what gets you up before dawn to train for a circumnavigation no one expects you to finish, or keeps you grounded in solving climate change even when the work is unglamorous and slow.
Passion has helped me achieve my goals by acting as an anchor during uncertainty. At sea, when storms tested every plan, it was passion - not perfection -that kept me steady. In my transition from the Navy to ocean sailing to climate work, passion has been the thread connecting seemingly different chapters into one coherent purpose: protecting the natural world I’ve come to love.
It doesn’t always feel like fire. Often, it feels like patience. And it’s that quiet, sustained patience - more than any single moment of inspiration -that has carried me furthest.</v>
      </c>
      <c r="AR42" s="61" t="str">
        <f>IFERROR(__xludf.DUMMYFUNCTION("""COMPUTED_VALUE"""),"Yes, I’d say I am -though I think of diplomacy less as tact and more as the ability to hold space for different truths without losing your own. Years at sea taught me to read people and situations quickly, stay calm under pressure, and find common ground "&amp;"with strangers in ports where I didn’t speak the language.
To turn this into an effective public diplomacy strategy, I’d lean on what already works: storytelling rooted in lived experience rather than rhetoric. My circumnavigation and my work in direct a"&amp;"ir capture both give me access to two universal languages - adventure and the climate crisis — that cut across politics and borders. I’d combine this with consistent, authentic visibility: speaking engagements, written reflections, and partnerships with y"&amp;"outh and ocean-conservation networks. Public diplomacy works best when it’s not an announcement, but an invitation - to see the world, and your role in it, differently.")</f>
        <v>Yes, I’d say I am -though I think of diplomacy less as tact and more as the ability to hold space for different truths without losing your own. Years at sea taught me to read people and situations quickly, stay calm under pressure, and find common ground with strangers in ports where I didn’t speak the language.
To turn this into an effective public diplomacy strategy, I’d lean on what already works: storytelling rooted in lived experience rather than rhetoric. My circumnavigation and my work in direct air capture both give me access to two universal languages - adventure and the climate crisis — that cut across politics and borders. I’d combine this with consistent, authentic visibility: speaking engagements, written reflections, and partnerships with youth and ocean-conservation networks. Public diplomacy works best when it’s not an announcement, but an invitation - to see the world, and your role in it, differently.</v>
      </c>
      <c r="AS42" s="61" t="str">
        <f>IFERROR(__xludf.DUMMYFUNCTION("""COMPUTED_VALUE"""),"No")</f>
        <v>No</v>
      </c>
      <c r="AT42" s="61" t="str">
        <f>IFERROR(__xludf.DUMMYFUNCTION("""COMPUTED_VALUE"""),"No")</f>
        <v>No</v>
      </c>
      <c r="AU42" s="61" t="str">
        <f>IFERROR(__xludf.DUMMYFUNCTION("""COMPUTED_VALUE"""),"Global Politics, Diplomacy &amp; Identities")</f>
        <v>Global Politics, Diplomacy &amp; Identities</v>
      </c>
      <c r="AV42" s="61" t="str">
        <f>IFERROR(__xludf.DUMMYFUNCTION("""COMPUTED_VALUE"""),"Scholarships portal")</f>
        <v>Scholarships portal</v>
      </c>
      <c r="AW42" s="61" t="str">
        <f>IFERROR(__xludf.DUMMYFUNCTION("""COMPUTED_VALUE"""),"Public diplomacy in 21st century")</f>
        <v>Public diplomacy in 21st century</v>
      </c>
      <c r="AX42" s="66" t="str">
        <f>IFERROR(__xludf.DUMMYFUNCTION("""COMPUTED_VALUE"""),"Yes")</f>
        <v>Yes</v>
      </c>
      <c r="AY42" s="66">
        <f>IFERROR(__xludf.DUMMYFUNCTION("""COMPUTED_VALUE"""),15.99)</f>
        <v>15.99</v>
      </c>
      <c r="AZ42" s="61"/>
      <c r="BA42" s="61"/>
      <c r="BB42" s="61"/>
      <c r="BC42" s="61"/>
      <c r="BD42" s="61"/>
      <c r="BE42" s="61"/>
      <c r="BF42" s="61"/>
      <c r="BG42" s="61"/>
      <c r="BH42" s="61"/>
      <c r="BI42" s="61"/>
      <c r="BJ42" s="61"/>
      <c r="BK42" s="61"/>
      <c r="BL42" s="61"/>
      <c r="BM42" s="61"/>
      <c r="BN42" s="61"/>
      <c r="BO42" s="61"/>
      <c r="BP42" s="61"/>
      <c r="BQ42" s="61"/>
      <c r="BR42" s="61"/>
    </row>
    <row r="43" ht="15.75" customHeight="1">
      <c r="A43" s="61" t="str">
        <f>IFERROR(__xludf.DUMMYFUNCTION("""COMPUTED_VALUE"""),"Full/partial")</f>
        <v>Full/partial</v>
      </c>
      <c r="B43" s="62">
        <f>IFERROR(__xludf.DUMMYFUNCTION("""COMPUTED_VALUE"""),56.0)</f>
        <v>56</v>
      </c>
      <c r="C43" s="61" t="str">
        <f>IFERROR(__xludf.DUMMYFUNCTION("""COMPUTED_VALUE"""),"Partial")</f>
        <v>Partial</v>
      </c>
      <c r="D43" s="63" t="str">
        <f>IFERROR(__xludf.DUMMYFUNCTION("""COMPUTED_VALUE"""),"Submitted")</f>
        <v>Submitted</v>
      </c>
      <c r="E43" s="63">
        <f>IFERROR(__xludf.DUMMYFUNCTION("""COMPUTED_VALUE"""),46192.91805555556)</f>
        <v>46192.91806</v>
      </c>
      <c r="F43" s="61" t="str">
        <f>IFERROR(__xludf.DUMMYFUNCTION("""COMPUTED_VALUE"""),"Aras Alshikhane")</f>
        <v>Aras Alshikhane</v>
      </c>
      <c r="G43" s="61" t="str">
        <f>IFERROR(__xludf.DUMMYFUNCTION("""COMPUTED_VALUE"""),"Aras Nawzad Ali Alshikhane")</f>
        <v>Aras Nawzad Ali Alshikhane</v>
      </c>
      <c r="H43" s="61" t="str">
        <f>IFERROR(__xludf.DUMMYFUNCTION("""COMPUTED_VALUE"""),"arasnawzad464@gmail.com")</f>
        <v>arasnawzad464@gmail.com</v>
      </c>
      <c r="I43" s="61" t="str">
        <f>IFERROR(__xludf.DUMMYFUNCTION("""COMPUTED_VALUE"""),"arshshekhg@gmail.com")</f>
        <v>arshshekhg@gmail.com</v>
      </c>
      <c r="J43" s="61" t="str">
        <f>IFERROR(__xludf.DUMMYFUNCTION("""COMPUTED_VALUE"""),"Eskan , 7/644, Kirkuk, Iraq")</f>
        <v>Eskan , 7/644, Kirkuk, Iraq</v>
      </c>
      <c r="K43" s="61" t="str">
        <f>IFERROR(__xludf.DUMMYFUNCTION("""COMPUTED_VALUE"""),"Iraqi")</f>
        <v>Iraqi</v>
      </c>
      <c r="L43" s="64" t="str">
        <f>IFERROR(__xludf.DUMMYFUNCTION("""COMPUTED_VALUE"""),"+9647701301963")</f>
        <v>+9647701301963</v>
      </c>
      <c r="M43" s="64">
        <f>IFERROR(__xludf.DUMMYFUNCTION("""COMPUTED_VALUE"""),31778.0)</f>
        <v>31778</v>
      </c>
      <c r="N43" s="61" t="str">
        <f>IFERROR(__xludf.DUMMYFUNCTION("""COMPUTED_VALUE"""),"B37987997")</f>
        <v>B37987997</v>
      </c>
      <c r="O43" s="61" t="str">
        <f>IFERROR(__xludf.DUMMYFUNCTION("""COMPUTED_VALUE"""),"+9647701305981")</f>
        <v>+9647701305981</v>
      </c>
      <c r="P43" s="67" t="str">
        <f>IFERROR(__xludf.DUMMYFUNCTION("""COMPUTED_VALUE"""),"https://www.linkedin.com/in/aras-alshikhane-32bb27193?utm_source=share_via&amp;utm_content=profile&amp;utm_medium=member_ios")</f>
        <v>https://www.linkedin.com/in/aras-alshikhane-32bb27193?utm_source=share_via&amp;utm_content=profile&amp;utm_medium=member_ios</v>
      </c>
      <c r="Q43" s="67" t="str">
        <f>IFERROR(__xludf.DUMMYFUNCTION("""COMPUTED_VALUE"""),"https://www.instagram.com/draras.s?igsh=bG4zZGF1cGJwZGxo&amp;utm_source=qr")</f>
        <v>https://www.instagram.com/draras.s?igsh=bG4zZGF1cGJwZGxo&amp;utm_source=qr</v>
      </c>
      <c r="R43" s="65" t="str">
        <f>IFERROR(__xludf.DUMMYFUNCTION("""COMPUTED_VALUE"""),"https://www.facebook.com/share/18irUpiaZX/?mibextid=wwXIfr")</f>
        <v>https://www.facebook.com/share/18irUpiaZX/?mibextid=wwXIfr</v>
      </c>
      <c r="S43" s="61" t="str">
        <f>IFERROR(__xludf.DUMMYFUNCTION("""COMPUTED_VALUE"""),"Design Image.jpeg")</f>
        <v>Design Image.jpeg</v>
      </c>
      <c r="T43" s="61" t="str">
        <f>IFERROR(__xludf.DUMMYFUNCTION("""COMPUTED_VALUE"""),"Photoroom_20251109_170130.jpeg")</f>
        <v>Photoroom_20251109_170130.jpeg</v>
      </c>
      <c r="U43" s="61" t="str">
        <f>IFERROR(__xludf.DUMMYFUNCTION("""COMPUTED_VALUE"""),"PHD")</f>
        <v>PHD</v>
      </c>
      <c r="V43" s="61" t="str">
        <f>IFERROR(__xludf.DUMMYFUNCTION("""COMPUTED_VALUE"""),"PhD in physics")</f>
        <v>PhD in physics</v>
      </c>
      <c r="W43" s="61" t="str">
        <f>IFERROR(__xludf.DUMMYFUNCTION("""COMPUTED_VALUE"""),"Physics / Condensed Matter")</f>
        <v>Physics / Condensed Matter</v>
      </c>
      <c r="X43" s="61" t="str">
        <f>IFERROR(__xludf.DUMMYFUNCTION("""COMPUTED_VALUE"""),"Urmia University")</f>
        <v>Urmia University</v>
      </c>
      <c r="Y43" s="61" t="str">
        <f>IFERROR(__xludf.DUMMYFUNCTION("""COMPUTED_VALUE"""),"Yes")</f>
        <v>Yes</v>
      </c>
      <c r="Z43" s="61" t="str">
        <f>IFERROR(__xludf.DUMMYFUNCTION("""COMPUTED_VALUE"""),"Iran")</f>
        <v>Iran</v>
      </c>
      <c r="AA43" s="61" t="str">
        <f>IFERROR(__xludf.DUMMYFUNCTION("""COMPUTED_VALUE"""),"No")</f>
        <v>No</v>
      </c>
      <c r="AB43" s="61"/>
      <c r="AC43" s="61"/>
      <c r="AD43" s="61" t="str">
        <f>IFERROR(__xludf.DUMMYFUNCTION("""COMPUTED_VALUE"""),"Yes , dream organization, Chater Organization, Kurdistan students union")</f>
        <v>Yes , dream organization, Chater Organization, Kurdistan students union</v>
      </c>
      <c r="AE43" s="61"/>
      <c r="AF43" s="61" t="str">
        <f>IFERROR(__xludf.DUMMYFUNCTION("""COMPUTED_VALUE"""),"Volunteer")</f>
        <v>Volunteer</v>
      </c>
      <c r="AG43" s="61" t="str">
        <f>IFERROR(__xludf.DUMMYFUNCTION("""COMPUTED_VALUE"""),"More than 10 years")</f>
        <v>More than 10 years</v>
      </c>
      <c r="AH43" s="61" t="str">
        <f>IFERROR(__xludf.DUMMYFUNCTION("""COMPUTED_VALUE"""),"Yes")</f>
        <v>Yes</v>
      </c>
      <c r="AI43" s="61" t="str">
        <f>IFERROR(__xludf.DUMMYFUNCTION("""COMPUTED_VALUE"""),"Teacher")</f>
        <v>Teacher</v>
      </c>
      <c r="AJ43" s="61" t="str">
        <f>IFERROR(__xludf.DUMMYFUNCTION("""COMPUTED_VALUE"""),"No")</f>
        <v>No</v>
      </c>
      <c r="AK43" s="61"/>
      <c r="AL43" s="61" t="str">
        <f>IFERROR(__xludf.DUMMYFUNCTION("""COMPUTED_VALUE"""),"Teacher, researcher, manager, educator, content creator")</f>
        <v>Teacher, researcher, manager, educator, content creator</v>
      </c>
      <c r="AM43" s="61" t="str">
        <f>IFERROR(__xludf.DUMMYFUNCTION("""COMPUTED_VALUE"""),"Dr_Aras_AlShikhane..pdf")</f>
        <v>Dr_Aras_AlShikhane..pdf</v>
      </c>
      <c r="AN43" s="61" t="str">
        <f>IFERROR(__xludf.DUMMYFUNCTION("""COMPUTED_VALUE"""),"Yes, I think the way to change the world begins with empowering individuals through education and cross-culture understanding. I have been mentoring youth from various backgrounds, professionally and personally, for more than 10 years, as a university lec"&amp;"turer and institute director. I have influenced thousands of students directly through teaching and management of educational institutions, fostering critical thinking and cross-cultural communication. Additionally, my position as a multilingual professio"&amp;"nal with 5 language skills enabled me to fill in the gaps and be a cultural broker, to help youth break down educational barriers and to build community resilience through accessible and quality learning programs.")</f>
        <v>Yes, I think the way to change the world begins with empowering individuals through education and cross-culture understanding. I have been mentoring youth from various backgrounds, professionally and personally, for more than 10 years, as a university lecturer and institute director. I have influenced thousands of students directly through teaching and management of educational institutions, fostering critical thinking and cross-cultural communication. Additionally, my position as a multilingual professional with 5 language skills enabled me to fill in the gaps and be a cultural broker, to help youth break down educational barriers and to build community resilience through accessible and quality learning programs.</v>
      </c>
      <c r="AO43" s="61" t="str">
        <f>IFERROR(__xludf.DUMMYFUNCTION("""COMPUTED_VALUE"""),"Indonesia is a diplomatically important country, especially in Southeast Asia and the Global South. As the world’s largest archipelagic state and a diverse democratic country, Indonesia has always championed the principles of peaceful coexistence, multila"&amp;"teralism and strategic neutrality. Its leadership in ASEAN and successful G20 presidency show its ability to bridge divisions between major global powers. For a Middle Eastern academic and practitioner, the understanding of Indonesia’s model of free and a"&amp;"ctive foreign policy and its success in cultural diplomacy offers invaluable insights to foster regional stability and international cooperation.")</f>
        <v>Indonesia is a diplomatically important country, especially in Southeast Asia and the Global South. As the world’s largest archipelagic state and a diverse democratic country, Indonesia has always championed the principles of peaceful coexistence, multilateralism and strategic neutrality. Its leadership in ASEAN and successful G20 presidency show its ability to bridge divisions between major global powers. For a Middle Eastern academic and practitioner, the understanding of Indonesia’s model of free and active foreign policy and its success in cultural diplomacy offers invaluable insights to foster regional stability and international cooperation.</v>
      </c>
      <c r="AP43" s="61" t="str">
        <f>IFERROR(__xludf.DUMMYFUNCTION("""COMPUTED_VALUE"""),"The youth are not simply the future recipients of diplomacy, they are the active and present drivers. In a connected digital age, young people have the nimbleness, creativity and tech-savviness to leap over old geopolitical borders. They influence global "&amp;"narratives, advocate for sustainable development and encourage international grassroots solidarity.  As a PhD holder, university lecturer and former educational executive, I strongly identify with the essence of Public Diplomacy, which entails relationshi"&amp;"p building through education, culture and science. Science and cultural diplomacy have been the center of my career. I have practiced public diplomacy on a daily basis by recruiting international students, mediating student grievances in multicultural aca"&amp;"demic environments, and communicating in five languages. I consider education a tool of soft-power, to break stereotypes, to create sustainable mutual trust between nations. Joining this summit gives me the opportunity to connect my academic knowledge of "&amp;"physics and institutional management with public diplomacy strategies, and to empower the new generation of youth to become effective cultural ambassadors and bridge-builders between Iraq, Indonesia and the rest of the world.")</f>
        <v>The youth are not simply the future recipients of diplomacy, they are the active and present drivers. In a connected digital age, young people have the nimbleness, creativity and tech-savviness to leap over old geopolitical borders. They influence global narratives, advocate for sustainable development and encourage international grassroots solidarity.  As a PhD holder, university lecturer and former educational executive, I strongly identify with the essence of Public Diplomacy, which entails relationship building through education, culture and science. Science and cultural diplomacy have been the center of my career. I have practiced public diplomacy on a daily basis by recruiting international students, mediating student grievances in multicultural academic environments, and communicating in five languages. I consider education a tool of soft-power, to break stereotypes, to create sustainable mutual trust between nations. Joining this summit gives me the opportunity to connect my academic knowledge of physics and institutional management with public diplomacy strategies, and to empower the new generation of youth to become effective cultural ambassadors and bridge-builders between Iraq, Indonesia and the rest of the world.</v>
      </c>
      <c r="AQ43" s="61" t="str">
        <f>IFERROR(__xludf.DUMMYFUNCTION("""COMPUTED_VALUE"""),"Passion is the fuel that transforms vision into resilience and ongoing action. It is the deep commitment to a purpose that drives a person to overcome barriers and pursue excellence. Over the years, my passion has been the factor of my personal growth. It"&amp;" is what enabled me to juggle challenging executive positions with a staff of over 250 in several different educational branches, as well as pursuing and completing my PhD in Physics. My passion for community development and education drives me beyond the"&amp;" conventional, as I speak five languages fluently and traverse the academic, corporate, and multicultural worlds with ease. My passion drives me to achieve my goals, keeps me focused on outcomes and turns challenges into strategic milestones, motivating t"&amp;"he teams and students I lead to fulfil their potential.")</f>
        <v>Passion is the fuel that transforms vision into resilience and ongoing action. It is the deep commitment to a purpose that drives a person to overcome barriers and pursue excellence. Over the years, my passion has been the factor of my personal growth. It is what enabled me to juggle challenging executive positions with a staff of over 250 in several different educational branches, as well as pursuing and completing my PhD in Physics. My passion for community development and education drives me beyond the conventional, as I speak five languages fluently and traverse the academic, corporate, and multicultural worlds with ease. My passion drives me to achieve my goals, keeps me focused on outcomes and turns challenges into strategic milestones, motivating the teams and students I lead to fulfil their potential.</v>
      </c>
      <c r="AR43" s="61" t="str">
        <f>IFERROR(__xludf.DUMMYFUNCTION("""COMPUTED_VALUE"""),"Yes, I think creativity is a core strength, particularly when it comes to problem solving and institutional innovation. My creativity manifests in my ability to engineer solutions at the confluence of disciplines such as deploying digital transformation s"&amp;"trategies in traditional educational environments or utilising science communication to connect cultures.  To turn creativity into a successful public diplomacy strategy, I would execute a Science and Cultural Exchange Nexus. My approach to this, based on"&amp;" my experience as an academic and a multilingual manager,
would be:
Digital Knowledge-Sharing Platforms: Developing interactive, cross-border digital hubs for youth to collaboratively address scientific and social challenges, beyond geographical borders. "&amp;"Educational Tourism &amp; Language Taster Programs: Developing short-term, immersive cultural webinars that leverage localised storytelling to highlight mutual values between countries.Peer-to-Peer Mentorship Networks: Creating structured settings for young p"&amp;"eople with varied administrative and academic experiences to collaboratively develop community project blueprints. Leveraging my experience in data-driven reporting and structured management from my career as an Executive Director, this approach ensures t"&amp;"hat imaginative public diplomacy initiatives are not only creative, but measurable, sustainable, and capable of generating real and lasting international goodwill.")</f>
        <v>Yes, I think creativity is a core strength, particularly when it comes to problem solving and institutional innovation. My creativity manifests in my ability to engineer solutions at the confluence of disciplines such as deploying digital transformation strategies in traditional educational environments or utilising science communication to connect cultures.  To turn creativity into a successful public diplomacy strategy, I would execute a Science and Cultural Exchange Nexus. My approach to this, based on my experience as an academic and a multilingual manager,
would be:
Digital Knowledge-Sharing Platforms: Developing interactive, cross-border digital hubs for youth to collaboratively address scientific and social challenges, beyond geographical borders. Educational Tourism &amp; Language Taster Programs: Developing short-term, immersive cultural webinars that leverage localised storytelling to highlight mutual values between countries.Peer-to-Peer Mentorship Networks: Creating structured settings for young people with varied administrative and academic experiences to collaboratively develop community project blueprints. Leveraging my experience in data-driven reporting and structured management from my career as an Executive Director, this approach ensures that imaginative public diplomacy initiatives are not only creative, but measurable, sustainable, and capable of generating real and lasting international goodwill.</v>
      </c>
      <c r="AS43" s="61" t="str">
        <f>IFERROR(__xludf.DUMMYFUNCTION("""COMPUTED_VALUE"""),"Yes")</f>
        <v>Yes</v>
      </c>
      <c r="AT43" s="61" t="str">
        <f>IFERROR(__xludf.DUMMYFUNCTION("""COMPUTED_VALUE"""),"Yes")</f>
        <v>Yes</v>
      </c>
      <c r="AU43" s="61" t="str">
        <f>IFERROR(__xludf.DUMMYFUNCTION("""COMPUTED_VALUE"""),"Strategy, Peace &amp; Cultural Diplomacy")</f>
        <v>Strategy, Peace &amp; Cultural Diplomacy</v>
      </c>
      <c r="AV43" s="61" t="str">
        <f>IFERROR(__xludf.DUMMYFUNCTION("""COMPUTED_VALUE"""),"Google")</f>
        <v>Google</v>
      </c>
      <c r="AW43" s="61"/>
      <c r="AX43" s="66" t="str">
        <f>IFERROR(__xludf.DUMMYFUNCTION("""COMPUTED_VALUE"""),"Yes")</f>
        <v>Yes</v>
      </c>
      <c r="AY43" s="66">
        <f>IFERROR(__xludf.DUMMYFUNCTION("""COMPUTED_VALUE"""),15.99)</f>
        <v>15.99</v>
      </c>
      <c r="AZ43" s="61"/>
      <c r="BA43" s="61"/>
      <c r="BB43" s="61"/>
      <c r="BC43" s="61"/>
      <c r="BD43" s="61"/>
      <c r="BE43" s="61"/>
      <c r="BF43" s="61"/>
      <c r="BG43" s="61"/>
      <c r="BH43" s="61"/>
      <c r="BI43" s="61"/>
      <c r="BJ43" s="61"/>
      <c r="BK43" s="61"/>
      <c r="BL43" s="61"/>
      <c r="BM43" s="61"/>
      <c r="BN43" s="61"/>
      <c r="BO43" s="61"/>
      <c r="BP43" s="61"/>
      <c r="BQ43" s="61"/>
      <c r="BR43" s="61"/>
    </row>
    <row r="44" ht="15.75" customHeight="1">
      <c r="A44" s="61" t="str">
        <f>IFERROR(__xludf.DUMMYFUNCTION("""COMPUTED_VALUE"""),"Partial")</f>
        <v>Partial</v>
      </c>
      <c r="B44" s="62">
        <f>IFERROR(__xludf.DUMMYFUNCTION("""COMPUTED_VALUE"""),57.0)</f>
        <v>57</v>
      </c>
      <c r="C44" s="61" t="str">
        <f>IFERROR(__xludf.DUMMYFUNCTION("""COMPUTED_VALUE"""),"Partial")</f>
        <v>Partial</v>
      </c>
      <c r="D44" s="63" t="str">
        <f>IFERROR(__xludf.DUMMYFUNCTION("""COMPUTED_VALUE"""),"Submitted")</f>
        <v>Submitted</v>
      </c>
      <c r="E44" s="63">
        <f>IFERROR(__xludf.DUMMYFUNCTION("""COMPUTED_VALUE"""),46194.63680555556)</f>
        <v>46194.63681</v>
      </c>
      <c r="F44" s="61" t="str">
        <f>IFERROR(__xludf.DUMMYFUNCTION("""COMPUTED_VALUE"""),"Adeeba Aslam")</f>
        <v>Adeeba Aslam</v>
      </c>
      <c r="G44" s="61" t="str">
        <f>IFERROR(__xludf.DUMMYFUNCTION("""COMPUTED_VALUE"""),"Adeeba Aslam")</f>
        <v>Adeeba Aslam</v>
      </c>
      <c r="H44" s="61" t="str">
        <f>IFERROR(__xludf.DUMMYFUNCTION("""COMPUTED_VALUE"""),"adeebaaslam03@gmail.com")</f>
        <v>adeebaaslam03@gmail.com</v>
      </c>
      <c r="I44" s="61" t="str">
        <f>IFERROR(__xludf.DUMMYFUNCTION("""COMPUTED_VALUE"""),"aslamadeeba0@gmail.com")</f>
        <v>aslamadeeba0@gmail.com</v>
      </c>
      <c r="J44" s="61" t="str">
        <f>IFERROR(__xludf.DUMMYFUNCTION("""COMPUTED_VALUE"""),"Islamabad, Pakistan, Islamabad, Pakistan, Islamabad, Pakistan")</f>
        <v>Islamabad, Pakistan, Islamabad, Pakistan, Islamabad, Pakistan</v>
      </c>
      <c r="K44" s="61" t="str">
        <f>IFERROR(__xludf.DUMMYFUNCTION("""COMPUTED_VALUE"""),"Pakistani")</f>
        <v>Pakistani</v>
      </c>
      <c r="L44" s="64" t="str">
        <f>IFERROR(__xludf.DUMMYFUNCTION("""COMPUTED_VALUE"""),"03334396929")</f>
        <v>03334396929</v>
      </c>
      <c r="M44" s="64">
        <f>IFERROR(__xludf.DUMMYFUNCTION("""COMPUTED_VALUE"""),31780.0)</f>
        <v>31780</v>
      </c>
      <c r="N44" s="61" t="str">
        <f>IFERROR(__xludf.DUMMYFUNCTION("""COMPUTED_VALUE"""),"VQ1834521")</f>
        <v>VQ1834521</v>
      </c>
      <c r="O44" s="61" t="str">
        <f>IFERROR(__xludf.DUMMYFUNCTION("""COMPUTED_VALUE"""),"03215007888")</f>
        <v>03215007888</v>
      </c>
      <c r="P44" s="61"/>
      <c r="Q44" s="61"/>
      <c r="R44" s="61"/>
      <c r="S44" s="61" t="str">
        <f>IFERROR(__xludf.DUMMYFUNCTION("""COMPUTED_VALUE"""),"Passport.jpeg")</f>
        <v>Passport.jpeg</v>
      </c>
      <c r="T44" s="61" t="str">
        <f>IFERROR(__xludf.DUMMYFUNCTION("""COMPUTED_VALUE"""),"Adeeba.jpg")</f>
        <v>Adeeba.jpg</v>
      </c>
      <c r="U44" s="61" t="str">
        <f>IFERROR(__xludf.DUMMYFUNCTION("""COMPUTED_VALUE"""),"MBA/ MS in Public Administration")</f>
        <v>MBA/ MS in Public Administration</v>
      </c>
      <c r="V44" s="61" t="str">
        <f>IFERROR(__xludf.DUMMYFUNCTION("""COMPUTED_VALUE"""),"MPA (18 Years) Public Administration")</f>
        <v>MPA (18 Years) Public Administration</v>
      </c>
      <c r="W44" s="61" t="str">
        <f>IFERROR(__xludf.DUMMYFUNCTION("""COMPUTED_VALUE"""),"HRM")</f>
        <v>HRM</v>
      </c>
      <c r="X44" s="61" t="str">
        <f>IFERROR(__xludf.DUMMYFUNCTION("""COMPUTED_VALUE"""),"University of the Punjab, Lahore")</f>
        <v>University of the Punjab, Lahore</v>
      </c>
      <c r="Y44" s="61" t="str">
        <f>IFERROR(__xludf.DUMMYFUNCTION("""COMPUTED_VALUE"""),"No")</f>
        <v>No</v>
      </c>
      <c r="Z44" s="61" t="str">
        <f>IFERROR(__xludf.DUMMYFUNCTION("""COMPUTED_VALUE"""),"Pakistan")</f>
        <v>Pakistan</v>
      </c>
      <c r="AA44" s="61" t="str">
        <f>IFERROR(__xludf.DUMMYFUNCTION("""COMPUTED_VALUE"""),"No")</f>
        <v>No</v>
      </c>
      <c r="AB44" s="61"/>
      <c r="AC44" s="61"/>
      <c r="AD44" s="61" t="str">
        <f>IFERROR(__xludf.DUMMYFUNCTION("""COMPUTED_VALUE"""),"06 months Volunteer in Children Hospital")</f>
        <v>06 months Volunteer in Children Hospital</v>
      </c>
      <c r="AE44" s="61"/>
      <c r="AF44" s="61"/>
      <c r="AG44" s="61"/>
      <c r="AH44" s="61" t="str">
        <f>IFERROR(__xludf.DUMMYFUNCTION("""COMPUTED_VALUE"""),"Yes")</f>
        <v>Yes</v>
      </c>
      <c r="AI44" s="61" t="str">
        <f>IFERROR(__xludf.DUMMYFUNCTION("""COMPUTED_VALUE"""),"Dy. Director (HR&amp;Admn) / Sr. Instructor (Management)")</f>
        <v>Dy. Director (HR&amp;Admn) / Sr. Instructor (Management)</v>
      </c>
      <c r="AJ44" s="61"/>
      <c r="AK44" s="61"/>
      <c r="AL44" s="61"/>
      <c r="AM44" s="61" t="str">
        <f>IFERROR(__xludf.DUMMYFUNCTION("""COMPUTED_VALUE"""),"A. Curriculum Vitae.pdf")</f>
        <v>A. Curriculum Vitae.pdf</v>
      </c>
      <c r="AN44" s="61" t="str">
        <f>IFERROR(__xludf.DUMMYFUNCTION("""COMPUTED_VALUE"""),"Yes, I have always believed that meaningful change starts with individual action. After completing my MBA in HR, I volunteered for six months at a children's hospital, where I learned the importance of compassion, service and supporting vulnerable communi"&amp;"ties. Throughout my professional career in WAPDA, I have contributed to employee development through career management, training and capacity-building initiatives. Currently, as a Senior Instructor at WAPDA Administrative Staff College, I mentor and train"&amp;" professionals to enhance their skills and effectiveness. By combining community service, education and professional development, I strive to create a positive and lasting impact on individuals and society.")</f>
        <v>Yes, I have always believed that meaningful change starts with individual action. After completing my MBA in HR, I volunteered for six months at a children's hospital, where I learned the importance of compassion, service and supporting vulnerable communities. Throughout my professional career in WAPDA, I have contributed to employee development through career management, training and capacity-building initiatives. Currently, as a Senior Instructor at WAPDA Administrative Staff College, I mentor and train professionals to enhance their skills and effectiveness. By combining community service, education and professional development, I strive to create a positive and lasting impact on individuals and society.</v>
      </c>
      <c r="AO44" s="61" t="str">
        <f>IFERROR(__xludf.DUMMYFUNCTION("""COMPUTED_VALUE"""),"In my view, the United States remains one of the most diplomatically significant countries in the world due to its influence on global governance, international security, economic stability and multilateral cooperation. As a key member of major internatio"&amp;"nal institutions and alliances, it plays a central role in addressing global challenges such as climate change, conflict resolution, public health and sustainable development. However, diplomatic significance is not solely based on power, it also depends "&amp;"on the ability to foster dialogue and partnerships. Effective diplomacy requires collaboration among nations and influential countries have a responsibility to promote peace, mutual understanding and shared progress.")</f>
        <v>In my view, the United States remains one of the most diplomatically significant countries in the world due to its influence on global governance, international security, economic stability and multilateral cooperation. As a key member of major international institutions and alliances, it plays a central role in addressing global challenges such as climate change, conflict resolution, public health and sustainable development. However, diplomatic significance is not solely based on power, it also depends on the ability to foster dialogue and partnerships. Effective diplomacy requires collaboration among nations and influential countries have a responsibility to promote peace, mutual understanding and shared progress.</v>
      </c>
      <c r="AP44" s="61" t="str">
        <f>IFERROR(__xludf.DUMMYFUNCTION("""COMPUTED_VALUE"""),"Youth are not merely the leaders of tomorrow; they are active stakeholders in shaping the world today. In an era defined by globalization and digital connectivity, young people play a crucial role in promoting intercultural dialogue, countering misinforma"&amp;"tion, fostering mutual understanding and advocating peaceful solutions to global challenges. Their energy, creativity and adaptability make them powerful contributors to diplomacy and international cooperation.
I strongly relate to the concept of Public "&amp;"Diplomacy because it emphasizes building trust and understanding through people-to-people engagement. Throughout my career in the public sector, I have worked in career management, training and capacity building, helping individuals develop their potentia"&amp;"l and contribute effectively to their institutions. As a Senior Instructor at WAPDA Administrative Staff College, I facilitate learning, communication and professional collaboration among diverse groups of professionals.
My volunteer experience at a chil"&amp;"dren's hospital further strengthened my belief in empathy, service and human connection as foundations of meaningful engagement. Public diplomacy, to me, is about creating bridges across cultures, professions and communities through dialogue and mutual re"&amp;"spect. By participating in YPDS Jakarta 2026, I hope to enhance my understanding of strategic communication, peacebuilding and cultural diplomacy while contributing my professional experiences to a global network of emerging leaders committed to positive "&amp;"change.")</f>
        <v>Youth are not merely the leaders of tomorrow; they are active stakeholders in shaping the world today. In an era defined by globalization and digital connectivity, young people play a crucial role in promoting intercultural dialogue, countering misinformation, fostering mutual understanding and advocating peaceful solutions to global challenges. Their energy, creativity and adaptability make them powerful contributors to diplomacy and international cooperation.
I strongly relate to the concept of Public Diplomacy because it emphasizes building trust and understanding through people-to-people engagement. Throughout my career in the public sector, I have worked in career management, training and capacity building, helping individuals develop their potential and contribute effectively to their institutions. As a Senior Instructor at WAPDA Administrative Staff College, I facilitate learning, communication and professional collaboration among diverse groups of professionals.
My volunteer experience at a children's hospital further strengthened my belief in empathy, service and human connection as foundations of meaningful engagement. Public diplomacy, to me, is about creating bridges across cultures, professions and communities through dialogue and mutual respect. By participating in YPDS Jakarta 2026, I hope to enhance my understanding of strategic communication, peacebuilding and cultural diplomacy while contributing my professional experiences to a global network of emerging leaders committed to positive change.</v>
      </c>
      <c r="AQ44" s="61" t="str">
        <f>IFERROR(__xludf.DUMMYFUNCTION("""COMPUTED_VALUE"""),"Passion is the inner drive that inspires individuals to pursue their goals with commitment, resilience and purpose. It is the force that keeps us motivated despite challenges and encourages continuous learning and self-improvement. Passion transforms aspi"&amp;"rations into meaningful actions and helps individuals remain focused on creating a positive impact.
In my own journey, passion has been the foundation of both my academic and professional achievements. My dedication to learning enabled me to secure first"&amp;" position in my MPA, earn gold medals and receive merit-based distinctions. Professionally, my passion for human resource development and capacity building has motivated me to contribute to career management, training and professional growth initiatives w"&amp;"ithin the public sector. As a Senior Instructor, I find fulfilment in mentoring and empowering others to reach their potential.
I believe passion not only helps individuals achieve their goals but also inspires them to serve others, lead with purpose, an"&amp;"d contribute meaningfully to society.")</f>
        <v>Passion is the inner drive that inspires individuals to pursue their goals with commitment, resilience and purpose. It is the force that keeps us motivated despite challenges and encourages continuous learning and self-improvement. Passion transforms aspirations into meaningful actions and helps individuals remain focused on creating a positive impact.
In my own journey, passion has been the foundation of both my academic and professional achievements. My dedication to learning enabled me to secure first position in my MPA, earn gold medals and receive merit-based distinctions. Professionally, my passion for human resource development and capacity building has motivated me to contribute to career management, training and professional growth initiatives within the public sector. As a Senior Instructor, I find fulfilment in mentoring and empowering others to reach their potential.
I believe passion not only helps individuals achieve their goals but also inspires them to serve others, lead with purpose, and contribute meaningfully to society.</v>
      </c>
      <c r="AR44" s="61" t="str">
        <f>IFERROR(__xludf.DUMMYFUNCTION("""COMPUTED_VALUE"""),"Yes, I consider myself a creative person, particularly in how I approach communication, training and problem-solving in my professional role. Creativity, for me, is not limited to artistic expression; it also includes finding innovative ways to engage peo"&amp;"ple, simplify complex ideas and encourage meaningful participation in learning and development processes.
In my career in human resource management and training, I have used creativity to make sessions more interactive and impactful, ensuring that partic"&amp;"ipants remain engaged and are able to connect theoretical knowledge with practical application. As a Senior Instructor at WAPDA Administrative Staff College, I design and deliver learning experiences that encourage dialogue, critical thinking and collabor"&amp;"ation among professionals from diverse backgrounds. This requires adapting communication styles and using creative approaches to connect with different audiences effectively.
In the context of public diplomacy, I believe creativity is a powerful tool for"&amp;" building bridges between cultures and societies. Creative storytelling, strategic communication and innovative use of dialogue platforms can help shape positive narratives, reduce misunderstandings and foster mutual trust. By applying my professional exp"&amp;"erience in training and communication, I can contribute to public diplomacy strategies that are people-centered, inclusive and focused on strengthening understanding across cultural and institutional boundaries. I aim to use creativity as a means to promo"&amp;"te cooperation, empathy and shared global values.")</f>
        <v>Yes, I consider myself a creative person, particularly in how I approach communication, training and problem-solving in my professional role. Creativity, for me, is not limited to artistic expression; it also includes finding innovative ways to engage people, simplify complex ideas and encourage meaningful participation in learning and development processes.
In my career in human resource management and training, I have used creativity to make sessions more interactive and impactful, ensuring that participants remain engaged and are able to connect theoretical knowledge with practical application. As a Senior Instructor at WAPDA Administrative Staff College, I design and deliver learning experiences that encourage dialogue, critical thinking and collaboration among professionals from diverse backgrounds. This requires adapting communication styles and using creative approaches to connect with different audiences effectively.
In the context of public diplomacy, I believe creativity is a powerful tool for building bridges between cultures and societies. Creative storytelling, strategic communication and innovative use of dialogue platforms can help shape positive narratives, reduce misunderstandings and foster mutual trust. By applying my professional experience in training and communication, I can contribute to public diplomacy strategies that are people-centered, inclusive and focused on strengthening understanding across cultural and institutional boundaries. I aim to use creativity as a means to promote cooperation, empathy and shared global values.</v>
      </c>
      <c r="AS44" s="61" t="str">
        <f>IFERROR(__xludf.DUMMYFUNCTION("""COMPUTED_VALUE"""),"Yes")</f>
        <v>Yes</v>
      </c>
      <c r="AT44" s="61" t="str">
        <f>IFERROR(__xludf.DUMMYFUNCTION("""COMPUTED_VALUE"""),"Yes")</f>
        <v>Yes</v>
      </c>
      <c r="AU44" s="61" t="str">
        <f>IFERROR(__xludf.DUMMYFUNCTION("""COMPUTED_VALUE"""),"Global Politics, Diplomacy &amp; Identities")</f>
        <v>Global Politics, Diplomacy &amp; Identities</v>
      </c>
      <c r="AV44" s="61" t="str">
        <f>IFERROR(__xludf.DUMMYFUNCTION("""COMPUTED_VALUE"""),"Scholarship portal")</f>
        <v>Scholarship portal</v>
      </c>
      <c r="AW44" s="61" t="str">
        <f>IFERROR(__xludf.DUMMYFUNCTION("""COMPUTED_VALUE"""),"The program module that interests me the most is Strategic Communication and Public Diplomacy. In an era defined by rapid information flow, geopolitical complexity and digital influence, strategic communication has become central to shaping narratives, bu"&amp;"ilding trust and advancing peaceful international engagement. I am particularly interested in how states and institutions design communication strategies that not only inform but also influence perceptions, reduce polarization and strengthen diplomatic re"&amp;"lationships across cultures.  With my professional background in human resource development and training within the public sector, I have observed how communication directly affects institutional effectiveness, collaboration and capacity building. As a Se"&amp;"nior Instructor at WAPDA Administrative Staff College, I engage with professionals from diverse functional areas, which has strengthened my understanding of how structured communication and dialogue can enhance cooperation and shared understanding.  From "&amp;"a public diplomacy perspective, I am especially interested in the intersection of strategic messaging, soft power and people-to-people engagement in addressing contemporary global challenges such as misinformation, cultural fragmentation and declining ins"&amp;"titutional trust. This module aligns with my aspiration to evolve from organizational training and development into a broader role that contributes to policy-level understanding of communication as a diplomatic tool.  I hope to gain advanced insight into "&amp;"how communication frameworks are developed and applied at the international level to support peacebuilding, cooperation and inclusive global discourse.")</f>
        <v>The program module that interests me the most is Strategic Communication and Public Diplomacy. In an era defined by rapid information flow, geopolitical complexity and digital influence, strategic communication has become central to shaping narratives, building trust and advancing peaceful international engagement. I am particularly interested in how states and institutions design communication strategies that not only inform but also influence perceptions, reduce polarization and strengthen diplomatic relationships across cultures.  With my professional background in human resource development and training within the public sector, I have observed how communication directly affects institutional effectiveness, collaboration and capacity building. As a Senior Instructor at WAPDA Administrative Staff College, I engage with professionals from diverse functional areas, which has strengthened my understanding of how structured communication and dialogue can enhance cooperation and shared understanding.  From a public diplomacy perspective, I am especially interested in the intersection of strategic messaging, soft power and people-to-people engagement in addressing contemporary global challenges such as misinformation, cultural fragmentation and declining institutional trust. This module aligns with my aspiration to evolve from organizational training and development into a broader role that contributes to policy-level understanding of communication as a diplomatic tool.  I hope to gain advanced insight into how communication frameworks are developed and applied at the international level to support peacebuilding, cooperation and inclusive global discourse.</v>
      </c>
      <c r="AX44" s="66" t="str">
        <f>IFERROR(__xludf.DUMMYFUNCTION("""COMPUTED_VALUE"""),"Yes")</f>
        <v>Yes</v>
      </c>
      <c r="AY44" s="66">
        <f>IFERROR(__xludf.DUMMYFUNCTION("""COMPUTED_VALUE"""),15.99)</f>
        <v>15.99</v>
      </c>
      <c r="AZ44" s="61"/>
      <c r="BA44" s="61"/>
      <c r="BB44" s="61"/>
      <c r="BC44" s="61"/>
      <c r="BD44" s="61"/>
      <c r="BE44" s="61"/>
      <c r="BF44" s="61"/>
      <c r="BG44" s="61"/>
      <c r="BH44" s="61"/>
      <c r="BI44" s="61"/>
      <c r="BJ44" s="61"/>
      <c r="BK44" s="61"/>
      <c r="BL44" s="61"/>
      <c r="BM44" s="61"/>
      <c r="BN44" s="61"/>
      <c r="BO44" s="61"/>
      <c r="BP44" s="61"/>
      <c r="BQ44" s="61"/>
      <c r="BR44" s="61"/>
    </row>
    <row r="45" ht="15.75" customHeight="1">
      <c r="A45" s="61" t="str">
        <f>IFERROR(__xludf.DUMMYFUNCTION("""COMPUTED_VALUE"""),"Partial")</f>
        <v>Partial</v>
      </c>
      <c r="B45" s="62">
        <f>IFERROR(__xludf.DUMMYFUNCTION("""COMPUTED_VALUE"""),58.0)</f>
        <v>58</v>
      </c>
      <c r="C45" s="61" t="str">
        <f>IFERROR(__xludf.DUMMYFUNCTION("""COMPUTED_VALUE"""),"Partial")</f>
        <v>Partial</v>
      </c>
      <c r="D45" s="63" t="str">
        <f>IFERROR(__xludf.DUMMYFUNCTION("""COMPUTED_VALUE"""),"Submitted")</f>
        <v>Submitted</v>
      </c>
      <c r="E45" s="63">
        <f>IFERROR(__xludf.DUMMYFUNCTION("""COMPUTED_VALUE"""),46194.97152777778)</f>
        <v>46194.97153</v>
      </c>
      <c r="F45" s="61" t="str">
        <f>IFERROR(__xludf.DUMMYFUNCTION("""COMPUTED_VALUE"""),"Rana Ali")</f>
        <v>Rana Ali</v>
      </c>
      <c r="G45" s="61" t="str">
        <f>IFERROR(__xludf.DUMMYFUNCTION("""COMPUTED_VALUE"""),"Rana Ali Mohammed Ahmed Al-Attri")</f>
        <v>Rana Ali Mohammed Ahmed Al-Attri</v>
      </c>
      <c r="H45" s="61" t="str">
        <f>IFERROR(__xludf.DUMMYFUNCTION("""COMPUTED_VALUE"""),"raal0192@gmail.com")</f>
        <v>raal0192@gmail.com</v>
      </c>
      <c r="I45" s="61" t="str">
        <f>IFERROR(__xludf.DUMMYFUNCTION("""COMPUTED_VALUE"""),"raal0192@gmail.com")</f>
        <v>raal0192@gmail.com</v>
      </c>
      <c r="J45" s="61" t="str">
        <f>IFERROR(__xludf.DUMMYFUNCTION("""COMPUTED_VALUE"""),"Jordan -Amman, Amman, Jordan")</f>
        <v>Jordan -Amman, Amman, Jordan</v>
      </c>
      <c r="K45" s="61" t="str">
        <f>IFERROR(__xludf.DUMMYFUNCTION("""COMPUTED_VALUE"""),"Yemeni")</f>
        <v>Yemeni</v>
      </c>
      <c r="L45" s="64" t="str">
        <f>IFERROR(__xludf.DUMMYFUNCTION("""COMPUTED_VALUE"""),"+962 7 9196 5862")</f>
        <v>+962 7 9196 5862</v>
      </c>
      <c r="M45" s="64">
        <f>IFERROR(__xludf.DUMMYFUNCTION("""COMPUTED_VALUE"""),35376.0)</f>
        <v>35376</v>
      </c>
      <c r="N45" s="61" t="str">
        <f>IFERROR(__xludf.DUMMYFUNCTION("""COMPUTED_VALUE"""),"09796528")</f>
        <v>09796528</v>
      </c>
      <c r="O45" s="61" t="str">
        <f>IFERROR(__xludf.DUMMYFUNCTION("""COMPUTED_VALUE"""),"+962 7 9196 5862")</f>
        <v>+962 7 9196 5862</v>
      </c>
      <c r="P45" s="61"/>
      <c r="Q45" s="61"/>
      <c r="R45" s="61"/>
      <c r="S45" s="61" t="str">
        <f>IFERROR(__xludf.DUMMYFUNCTION("""COMPUTED_VALUE"""),"IMG_2914.png")</f>
        <v>IMG_2914.png</v>
      </c>
      <c r="T45" s="61" t="str">
        <f>IFERROR(__xludf.DUMMYFUNCTION("""COMPUTED_VALUE"""),"photo-output.png")</f>
        <v>photo-output.png</v>
      </c>
      <c r="U45" s="61" t="str">
        <f>IFERROR(__xludf.DUMMYFUNCTION("""COMPUTED_VALUE"""),"Bachelor's")</f>
        <v>Bachelor's</v>
      </c>
      <c r="V45" s="61" t="str">
        <f>IFERROR(__xludf.DUMMYFUNCTION("""COMPUTED_VALUE"""),"4,24 / 5")</f>
        <v>4,24 / 5</v>
      </c>
      <c r="W45" s="61" t="str">
        <f>IFERROR(__xludf.DUMMYFUNCTION("""COMPUTED_VALUE"""),"Dentistry")</f>
        <v>Dentistry</v>
      </c>
      <c r="X45" s="61" t="str">
        <f>IFERROR(__xludf.DUMMYFUNCTION("""COMPUTED_VALUE"""),"Aden University")</f>
        <v>Aden University</v>
      </c>
      <c r="Y45" s="61" t="str">
        <f>IFERROR(__xludf.DUMMYFUNCTION("""COMPUTED_VALUE"""),"No")</f>
        <v>No</v>
      </c>
      <c r="Z45" s="61" t="str">
        <f>IFERROR(__xludf.DUMMYFUNCTION("""COMPUTED_VALUE"""),"Yemen")</f>
        <v>Yemen</v>
      </c>
      <c r="AA45" s="61" t="str">
        <f>IFERROR(__xludf.DUMMYFUNCTION("""COMPUTED_VALUE"""),"No")</f>
        <v>No</v>
      </c>
      <c r="AB45" s="61"/>
      <c r="AC45" s="61"/>
      <c r="AD45" s="61" t="str">
        <f>IFERROR(__xludf.DUMMYFUNCTION("""COMPUTED_VALUE"""),"Yes. I have been involved in volunteer activities that focus on community support and youth engagement. Through these experiences, I have contributed to organizing initiatives, supporting social causes, and working collaboratively with others to create a "&amp;"positive impact. These opportunities have strengthened my communication skills, sense of responsibility, and commitment to serving the community.")</f>
        <v>Yes. I have been involved in volunteer activities that focus on community support and youth engagement. Through these experiences, I have contributed to organizing initiatives, supporting social causes, and working collaboratively with others to create a positive impact. These opportunities have strengthened my communication skills, sense of responsibility, and commitment to serving the community.</v>
      </c>
      <c r="AE45" s="65" t="str">
        <f>IFERROR(__xludf.DUMMYFUNCTION("""COMPUTED_VALUE"""),"https://www.undp.org")</f>
        <v>https://www.undp.org</v>
      </c>
      <c r="AF45" s="61" t="str">
        <f>IFERROR(__xludf.DUMMYFUNCTION("""COMPUTED_VALUE"""),"Volunteer")</f>
        <v>Volunteer</v>
      </c>
      <c r="AG45" s="61" t="str">
        <f>IFERROR(__xludf.DUMMYFUNCTION("""COMPUTED_VALUE"""),"4years")</f>
        <v>4years</v>
      </c>
      <c r="AH45" s="61" t="str">
        <f>IFERROR(__xludf.DUMMYFUNCTION("""COMPUTED_VALUE"""),"No")</f>
        <v>No</v>
      </c>
      <c r="AI45" s="61"/>
      <c r="AJ45" s="61" t="str">
        <f>IFERROR(__xludf.DUMMYFUNCTION("""COMPUTED_VALUE"""),"Yes")</f>
        <v>Yes</v>
      </c>
      <c r="AK45" s="61" t="str">
        <f>IFERROR(__xludf.DUMMYFUNCTION("""COMPUTED_VALUE"""),"In 2022, I served as a member of the Young Leaders initiative under the United Nations Development Programme (UNDP). As part of a community service project funded through this initiative, I collaborated with peers on activities aimed at creating a positiv"&amp;"e social impact. The project was implemented in partnership with the Arab Youth Center in Abu Dhabi, United Arab Emirates.")</f>
        <v>In 2022, I served as a member of the Young Leaders initiative under the United Nations Development Programme (UNDP). As part of a community service project funded through this initiative, I collaborated with peers on activities aimed at creating a positive social impact. The project was implemented in partnership with the Arab Youth Center in Abu Dhabi, United Arab Emirates.</v>
      </c>
      <c r="AL45" s="61" t="str">
        <f>IFERROR(__xludf.DUMMYFUNCTION("""COMPUTED_VALUE"""),"I worked as a Content Editor for one of the social media channels of the Young Leaders Foundation, a community initiative supported by the United Nations Development Programme (UNDP). I was responsible for developing and editing content to raise awareness"&amp;" and promote community engagement.")</f>
        <v>I worked as a Content Editor for one of the social media channels of the Young Leaders Foundation, a community initiative supported by the United Nations Development Programme (UNDP). I was responsible for developing and editing content to raise awareness and promote community engagement.</v>
      </c>
      <c r="AM45" s="61" t="str">
        <f>IFERROR(__xludf.DUMMYFUNCTION("""COMPUTED_VALUE"""),"1221f31e-e5a0-4b97-920a-9047b0f8beb4.jpeg")</f>
        <v>1221f31e-e5a0-4b97-920a-9047b0f8beb4.jpeg</v>
      </c>
      <c r="AN45" s="61" t="str">
        <f>IFERROR(__xludf.DUMMYFUNCTION("""COMPUTED_VALUE"""),"Yes, I have always believed that changing the world begins with making a difference in the lives of people around us. In my personal capacity, I have participated in community initiatives, contributed to awareness activities, and volunteered in youth-focu"&amp;"sed projects. As a dentist, I have also sought to promote health awareness and support those in need whenever possible. I have used my communication and content creation skills to encourage positive engagement within my community. These experiences taught"&amp;" me that meaningful impact does not require extraordinary resources, but rather compassion, responsibility, and a sincere commitment to serving others.")</f>
        <v>Yes, I have always believed that changing the world begins with making a difference in the lives of people around us. In my personal capacity, I have participated in community initiatives, contributed to awareness activities, and volunteered in youth-focused projects. As a dentist, I have also sought to promote health awareness and support those in need whenever possible. I have used my communication and content creation skills to encourage positive engagement within my community. These experiences taught me that meaningful impact does not require extraordinary resources, but rather compassion, responsibility, and a sincere commitment to serving others.</v>
      </c>
      <c r="AO45" s="61" t="str">
        <f>IFERROR(__xludf.DUMMYFUNCTION("""COMPUTED_VALUE"""),"In my opinion, Switzerland is one of the most diplomatically significant countries in the world. Its long-standing neutrality, commitment to peace, and role as a host for international organizations have made it a trusted platform for dialogue and coopera"&amp;"tion. Switzerland has contributed to conflict mediation, humanitarian efforts, and the promotion of international law. I believe its diplomatic approach demonstrates how a country can build influence not only through economic or military power, but also t"&amp;"hrough trust, stability, and a commitment to global cooperation. These qualities make Switzerland an important actor in addressing international challenges.")</f>
        <v>In my opinion, Switzerland is one of the most diplomatically significant countries in the world. Its long-standing neutrality, commitment to peace, and role as a host for international organizations have made it a trusted platform for dialogue and cooperation. Switzerland has contributed to conflict mediation, humanitarian efforts, and the promotion of international law. I believe its diplomatic approach demonstrates how a country can build influence not only through economic or military power, but also through trust, stability, and a commitment to global cooperation. These qualities make Switzerland an important actor in addressing international challenges.</v>
      </c>
      <c r="AP45" s="61" t="str">
        <f>IFERROR(__xludf.DUMMYFUNCTION("""COMPUTED_VALUE"""),"I believe that diplomacy is not limited to governments and official representatives. Every individual has the ability to contribute to building understanding and strengthening connections between people from different backgrounds. In my role as a healthca"&amp;"re professional and a volunteer, I have learned the importance of communication, empathy, and mutual respect in creating positive change.
I relate strongly to the idea of public diplomacy because it focuses on people-to-people engagement and the power of"&amp;" dialogue. Through community initiatives, content creation, and interactions with diverse groups, I have sought to promote cooperation, understanding, and shared values. I believe that public diplomacy begins with listening to others, respecting cultural "&amp;"differences, and using our skills to serve society.
My role in diplomacy is to be a responsible global citizen who encourages constructive dialogue and contributes to building bridges between communities. I believe that meaningful change often starts wit"&amp;"h individuals who are willing to engage, collaborate, and inspire others through their actions and values.")</f>
        <v>I believe that diplomacy is not limited to governments and official representatives. Every individual has the ability to contribute to building understanding and strengthening connections between people from different backgrounds. In my role as a healthcare professional and a volunteer, I have learned the importance of communication, empathy, and mutual respect in creating positive change.
I relate strongly to the idea of public diplomacy because it focuses on people-to-people engagement and the power of dialogue. Through community initiatives, content creation, and interactions with diverse groups, I have sought to promote cooperation, understanding, and shared values. I believe that public diplomacy begins with listening to others, respecting cultural differences, and using our skills to serve society.
My role in diplomacy is to be a responsible global citizen who encourages constructive dialogue and contributes to building bridges between communities. I believe that meaningful change often starts with individuals who are willing to engage, collaborate, and inspire others through their actions and values.</v>
      </c>
      <c r="AQ45" s="61" t="str">
        <f>IFERROR(__xludf.DUMMYFUNCTION("""COMPUTED_VALUE"""),"Passion, to me, is the inner drive that gives meaning to what we do and motivates us to keep moving forward, even when challenges arise. It is not only about having dreams, but also about having the dedication and perseverance to turn those dreams into re"&amp;"ality.
My passion for healthcare, learning, and community service has encouraged me to continuously develop my skills and seek opportunities that allow me to make a positive impact. It has taught me the importance of patience, discipline, and lifelong le"&amp;"arning. Whenever I face difficulties, passion reminds me why I started and gives me the motivation to continue.
I believe that passion is one of the most important factors in achieving goals because it transforms ambitions into actions and helps individu"&amp;"als remain committed to their purpose while striving to create meaningful change.")</f>
        <v>Passion, to me, is the inner drive that gives meaning to what we do and motivates us to keep moving forward, even when challenges arise. It is not only about having dreams, but also about having the dedication and perseverance to turn those dreams into reality.
My passion for healthcare, learning, and community service has encouraged me to continuously develop my skills and seek opportunities that allow me to make a positive impact. It has taught me the importance of patience, discipline, and lifelong learning. Whenever I face difficulties, passion reminds me why I started and gives me the motivation to continue.
I believe that passion is one of the most important factors in achieving goals because it transforms ambitions into actions and helps individuals remain committed to their purpose while striving to create meaningful change.</v>
      </c>
      <c r="AR45" s="61" t="str">
        <f>IFERROR(__xludf.DUMMYFUNCTION("""COMPUTED_VALUE"""),"Yes, I consider myself a creative person because I enjoy finding practical solutions, adapting to new situations, and communicating ideas in ways that bring people together. I believe creativity is not limited to art or innovation; it is also the ability "&amp;"to understand different perspectives and turn challenges into opportunities.
In diplomacy, creativity plays an important role in building trust and encouraging dialogue. I believe that effective diplomatic strategies require open-mindedness, empathy, and"&amp;" the ability to connect with people from diverse cultural backgrounds. Through my experiences in healthcare, volunteering, and content creation, I have learned how meaningful communication can promote cooperation and mutual understanding.
I see diplomacy"&amp;" as a process of creating bridges rather than barriers. By listening carefully, respecting differences, and encouraging collaboration, I believe creative thinking can be transformed into effective diplomatic action that contributes to peaceful relationshi"&amp;"ps and positive change within communities and across nations.")</f>
        <v>Yes, I consider myself a creative person because I enjoy finding practical solutions, adapting to new situations, and communicating ideas in ways that bring people together. I believe creativity is not limited to art or innovation; it is also the ability to understand different perspectives and turn challenges into opportunities.
In diplomacy, creativity plays an important role in building trust and encouraging dialogue. I believe that effective diplomatic strategies require open-mindedness, empathy, and the ability to connect with people from diverse cultural backgrounds. Through my experiences in healthcare, volunteering, and content creation, I have learned how meaningful communication can promote cooperation and mutual understanding.
I see diplomacy as a process of creating bridges rather than barriers. By listening carefully, respecting differences, and encouraging collaboration, I believe creative thinking can be transformed into effective diplomatic action that contributes to peaceful relationships and positive change within communities and across nations.</v>
      </c>
      <c r="AS45" s="61" t="str">
        <f>IFERROR(__xludf.DUMMYFUNCTION("""COMPUTED_VALUE"""),"Yes")</f>
        <v>Yes</v>
      </c>
      <c r="AT45" s="61" t="str">
        <f>IFERROR(__xludf.DUMMYFUNCTION("""COMPUTED_VALUE"""),"Yes")</f>
        <v>Yes</v>
      </c>
      <c r="AU45" s="61" t="str">
        <f>IFERROR(__xludf.DUMMYFUNCTION("""COMPUTED_VALUE"""),"International Public Service Relations")</f>
        <v>International Public Service Relations</v>
      </c>
      <c r="AV45" s="61" t="str">
        <f>IFERROR(__xludf.DUMMYFUNCTION("""COMPUTED_VALUE"""),"U contact me in email")</f>
        <v>U contact me in email</v>
      </c>
      <c r="AW45" s="61" t="str">
        <f>IFERROR(__xludf.DUMMYFUNCTION("""COMPUTED_VALUE"""),"Among the available modules, I am particularly interested in Public Diplomacy in the 21st Century. I find this topic especially relevant in today’s interconnected world, where communication, cultural exchange, and people-to-people engagement play a vital "&amp;"role in shaping international relations.  What attracts me most to this program is its emphasis on dialogue, mutual understanding, and the use of modern tools to build bridges between communities. Coming from a healthcare and volunteer background, I have "&amp;"witnessed the importance of trust, communication, and collaboration in creating positive change.  I believe that public diplomacy has the power to strengthen international cooperation and encourage peaceful solutions to global challenges. Participating in"&amp;" this module would allow me to broaden my perspective, learn from diverse experiences, and contribute more effectively to promoting understanding and cooperation across cultures.")</f>
        <v>Among the available modules, I am particularly interested in Public Diplomacy in the 21st Century. I find this topic especially relevant in today’s interconnected world, where communication, cultural exchange, and people-to-people engagement play a vital role in shaping international relations.  What attracts me most to this program is its emphasis on dialogue, mutual understanding, and the use of modern tools to build bridges between communities. Coming from a healthcare and volunteer background, I have witnessed the importance of trust, communication, and collaboration in creating positive change.  I believe that public diplomacy has the power to strengthen international cooperation and encourage peaceful solutions to global challenges. Participating in this module would allow me to broaden my perspective, learn from diverse experiences, and contribute more effectively to promoting understanding and cooperation across cultures.</v>
      </c>
      <c r="AX45" s="66" t="str">
        <f>IFERROR(__xludf.DUMMYFUNCTION("""COMPUTED_VALUE"""),"Yes")</f>
        <v>Yes</v>
      </c>
      <c r="AY45" s="66">
        <f>IFERROR(__xludf.DUMMYFUNCTION("""COMPUTED_VALUE"""),15.99)</f>
        <v>15.99</v>
      </c>
      <c r="AZ45" s="61"/>
      <c r="BA45" s="61"/>
      <c r="BB45" s="61"/>
      <c r="BC45" s="61"/>
      <c r="BD45" s="61"/>
      <c r="BE45" s="61"/>
      <c r="BF45" s="61"/>
      <c r="BG45" s="61"/>
      <c r="BH45" s="61"/>
      <c r="BI45" s="61"/>
      <c r="BJ45" s="61"/>
      <c r="BK45" s="61"/>
      <c r="BL45" s="61"/>
      <c r="BM45" s="61"/>
      <c r="BN45" s="61"/>
      <c r="BO45" s="61"/>
      <c r="BP45" s="61"/>
      <c r="BQ45" s="61"/>
      <c r="BR45" s="61"/>
    </row>
    <row r="46" ht="15.75" customHeight="1">
      <c r="A46" s="61" t="str">
        <f>IFERROR(__xludf.DUMMYFUNCTION("""COMPUTED_VALUE"""),"Self")</f>
        <v>Self</v>
      </c>
      <c r="B46" s="62">
        <f>IFERROR(__xludf.DUMMYFUNCTION("""COMPUTED_VALUE"""),59.0)</f>
        <v>59</v>
      </c>
      <c r="C46" s="61" t="str">
        <f>IFERROR(__xludf.DUMMYFUNCTION("""COMPUTED_VALUE"""),"Self")</f>
        <v>Self</v>
      </c>
      <c r="D46" s="63" t="str">
        <f>IFERROR(__xludf.DUMMYFUNCTION("""COMPUTED_VALUE"""),"Submitted")</f>
        <v>Submitted</v>
      </c>
      <c r="E46" s="63">
        <f>IFERROR(__xludf.DUMMYFUNCTION("""COMPUTED_VALUE"""),46195.02777777778)</f>
        <v>46195.02778</v>
      </c>
      <c r="F46" s="61" t="str">
        <f>IFERROR(__xludf.DUMMYFUNCTION("""COMPUTED_VALUE"""),"Husam Saeed")</f>
        <v>Husam Saeed</v>
      </c>
      <c r="G46" s="61" t="str">
        <f>IFERROR(__xludf.DUMMYFUNCTION("""COMPUTED_VALUE"""),"HUSAM SAEED SULAIMAN ALSHAMASI")</f>
        <v>HUSAM SAEED SULAIMAN ALSHAMASI</v>
      </c>
      <c r="H46" s="61" t="str">
        <f>IFERROR(__xludf.DUMMYFUNCTION("""COMPUTED_VALUE"""),"alshmasy4@gmail.com")</f>
        <v>alshmasy4@gmail.com</v>
      </c>
      <c r="I46" s="61" t="str">
        <f>IFERROR(__xludf.DUMMYFUNCTION("""COMPUTED_VALUE"""),"alshmasy4@gmail.com")</f>
        <v>alshmasy4@gmail.com</v>
      </c>
      <c r="J46" s="61" t="str">
        <f>IFERROR(__xludf.DUMMYFUNCTION("""COMPUTED_VALUE"""),"Al Jadaf - Jaddaf Waterfront - Dubai - United Arab Emirates, Dubai, United Arab Emirates")</f>
        <v>Al Jadaf - Jaddaf Waterfront - Dubai - United Arab Emirates, Dubai, United Arab Emirates</v>
      </c>
      <c r="K46" s="61" t="str">
        <f>IFERROR(__xludf.DUMMYFUNCTION("""COMPUTED_VALUE"""),"Yemeni")</f>
        <v>Yemeni</v>
      </c>
      <c r="L46" s="64" t="str">
        <f>IFERROR(__xludf.DUMMYFUNCTION("""COMPUTED_VALUE"""),"+971542389737")</f>
        <v>+971542389737</v>
      </c>
      <c r="M46" s="64">
        <f>IFERROR(__xludf.DUMMYFUNCTION("""COMPUTED_VALUE"""),37282.0)</f>
        <v>37282</v>
      </c>
      <c r="N46" s="61" t="str">
        <f>IFERROR(__xludf.DUMMYFUNCTION("""COMPUTED_VALUE"""),"09724283")</f>
        <v>09724283</v>
      </c>
      <c r="O46" s="61" t="str">
        <f>IFERROR(__xludf.DUMMYFUNCTION("""COMPUTED_VALUE"""),"+971542389737")</f>
        <v>+971542389737</v>
      </c>
      <c r="P46" s="61"/>
      <c r="Q46" s="61"/>
      <c r="R46" s="61"/>
      <c r="S46" s="61" t="str">
        <f>IFERROR(__xludf.DUMMYFUNCTION("""COMPUTED_VALUE"""),"IMG_2924.png")</f>
        <v>IMG_2924.png</v>
      </c>
      <c r="T46" s="61" t="str">
        <f>IFERROR(__xludf.DUMMYFUNCTION("""COMPUTED_VALUE"""),"IMG_2923.png")</f>
        <v>IMG_2923.png</v>
      </c>
      <c r="U46" s="61" t="str">
        <f>IFERROR(__xludf.DUMMYFUNCTION("""COMPUTED_VALUE"""),"bachelor’s")</f>
        <v>bachelor’s</v>
      </c>
      <c r="V46" s="61" t="str">
        <f>IFERROR(__xludf.DUMMYFUNCTION("""COMPUTED_VALUE"""),"4/5")</f>
        <v>4/5</v>
      </c>
      <c r="W46" s="61" t="str">
        <f>IFERROR(__xludf.DUMMYFUNCTION("""COMPUTED_VALUE"""),"Admi")</f>
        <v>Admi</v>
      </c>
      <c r="X46" s="61" t="str">
        <f>IFERROR(__xludf.DUMMYFUNCTION("""COMPUTED_VALUE"""),"Albalqa University")</f>
        <v>Albalqa University</v>
      </c>
      <c r="Y46" s="61" t="str">
        <f>IFERROR(__xludf.DUMMYFUNCTION("""COMPUTED_VALUE"""),"Yes")</f>
        <v>Yes</v>
      </c>
      <c r="Z46" s="61" t="str">
        <f>IFERROR(__xludf.DUMMYFUNCTION("""COMPUTED_VALUE"""),"Jordan")</f>
        <v>Jordan</v>
      </c>
      <c r="AA46" s="61" t="str">
        <f>IFERROR(__xludf.DUMMYFUNCTION("""COMPUTED_VALUE"""),"No")</f>
        <v>No</v>
      </c>
      <c r="AB46" s="61"/>
      <c r="AC46" s="61" t="str">
        <f>IFERROR(__xludf.DUMMYFUNCTION("""COMPUTED_VALUE"""),"Yes I’am")</f>
        <v>Yes I’am</v>
      </c>
      <c r="AD46" s="61" t="str">
        <f>IFERROR(__xludf.DUMMYFUNCTION("""COMPUTED_VALUE"""),"Yes .. Brom Volunteer Initiative")</f>
        <v>Yes .. Brom Volunteer Initiative</v>
      </c>
      <c r="AE46" s="61"/>
      <c r="AF46" s="61" t="str">
        <f>IFERROR(__xludf.DUMMYFUNCTION("""COMPUTED_VALUE"""),"Volunteer")</f>
        <v>Volunteer</v>
      </c>
      <c r="AG46" s="61" t="str">
        <f>IFERROR(__xludf.DUMMYFUNCTION("""COMPUTED_VALUE"""),"3 years")</f>
        <v>3 years</v>
      </c>
      <c r="AH46" s="61" t="str">
        <f>IFERROR(__xludf.DUMMYFUNCTION("""COMPUTED_VALUE"""),"No")</f>
        <v>No</v>
      </c>
      <c r="AI46" s="61"/>
      <c r="AJ46" s="61" t="str">
        <f>IFERROR(__xludf.DUMMYFUNCTION("""COMPUTED_VALUE"""),"No")</f>
        <v>No</v>
      </c>
      <c r="AK46" s="61"/>
      <c r="AL46" s="61" t="str">
        <f>IFERROR(__xludf.DUMMYFUNCTION("""COMPUTED_VALUE"""),"Team Leader")</f>
        <v>Team Leader</v>
      </c>
      <c r="AM46" s="61" t="str">
        <f>IFERROR(__xludf.DUMMYFUNCTION("""COMPUTED_VALUE"""),"3fc2992a-fb81-4ae0-90a2-80dac534fb17.jpeg")</f>
        <v>3fc2992a-fb81-4ae0-90a2-80dac534fb17.jpeg</v>
      </c>
      <c r="AN46" s="61" t="str">
        <f>IFERROR(__xludf.DUMMYFUNCTION("""COMPUTED_VALUE"""),"Yes, I have often thought about contributing to positive change in the world, even in small but meaningful ways. In my personal capacity, I focus on actions that are realistic and sustainable. I try to support people around me by sharing knowledge, offeri"&amp;"ng help when needed, and encouraging collaboration rather than competition. I also make an effort to stay informed about social and global issues so I can understand different perspectives. Additionally, I take part in volunteer activities whenever possib"&amp;"le, as I believe that consistent small contributions can create a larger collective impact over time and help build stronger communities.")</f>
        <v>Yes, I have often thought about contributing to positive change in the world, even in small but meaningful ways. In my personal capacity, I focus on actions that are realistic and sustainable. I try to support people around me by sharing knowledge, offering help when needed, and encouraging collaboration rather than competition. I also make an effort to stay informed about social and global issues so I can understand different perspectives. Additionally, I take part in volunteer activities whenever possible, as I believe that consistent small contributions can create a larger collective impact over time and help build stronger communities.</v>
      </c>
      <c r="AO46" s="61" t="str">
        <f>IFERROR(__xludf.DUMMYFUNCTION("""COMPUTED_VALUE"""),"We think about countries that play a strong diplomatic role in connecting regions and encouraging dialogue between different cultures. One example is United Arab Emirates, which has positioned itself as a global hub for diplomacy, mediation, and internati"&amp;"onal cooperation. It hosts numerous international conferences and maintains balanced relations with many countries across different political blocs. Its foreign policy often focuses on stability, economic partnership, and humanitarian support. Through its"&amp;" active engagement in regional and global issues, it has become an important bridge between East and West and a place where dialogue and collaboration are consistently encouraged and developed today.")</f>
        <v>We think about countries that play a strong diplomatic role in connecting regions and encouraging dialogue between different cultures. One example is United Arab Emirates, which has positioned itself as a global hub for diplomacy, mediation, and international cooperation. It hosts numerous international conferences and maintains balanced relations with many countries across different political blocs. Its foreign policy often focuses on stability, economic partnership, and humanitarian support. Through its active engagement in regional and global issues, it has become an important bridge between East and West and a place where dialogue and collaboration are consistently encouraged and developed today.</v>
      </c>
      <c r="AP46" s="61" t="str">
        <f>IFERROR(__xludf.DUMMYFUNCTION("""COMPUTED_VALUE"""),"Youth play a central role in modern diplomacy, especially with the growing importance of public diplomacy, which extends beyond governments to include individuals and communities. Young people are highly active in digital spaces, allowing them to share au"&amp;"thentic narratives about their societies, cultures, and values with a global audience. This makes them powerful informal ambassadors who can shape perceptions and build mutual understanding between nations.
In the context of public diplomacy, youth contr"&amp;"ibute through dialogue, volunteering, cultural exchange programs, and participation in international initiatives. Their engagement with organizations such as the United Nations and UNESCO highlights their involvement in addressing global challenges like p"&amp;"eacebuilding, education, and sustainable development.
Moreover, young people help create international networks that strengthen cooperation and cultural connection between countries. Through education, social media, and global forums, they promote soft p"&amp;"ower by influencing opinions in a positive and constructive way. In this sense, youth are not only participants in diplomacy but also key drivers of public diplomacy, as they contribute to shaping a more connected, informed, and cooperative world.")</f>
        <v>Youth play a central role in modern diplomacy, especially with the growing importance of public diplomacy, which extends beyond governments to include individuals and communities. Young people are highly active in digital spaces, allowing them to share authentic narratives about their societies, cultures, and values with a global audience. This makes them powerful informal ambassadors who can shape perceptions and build mutual understanding between nations.
In the context of public diplomacy, youth contribute through dialogue, volunteering, cultural exchange programs, and participation in international initiatives. Their engagement with organizations such as the United Nations and UNESCO highlights their involvement in addressing global challenges like peacebuilding, education, and sustainable development.
Moreover, young people help create international networks that strengthen cooperation and cultural connection between countries. Through education, social media, and global forums, they promote soft power by influencing opinions in a positive and constructive way. In this sense, youth are not only participants in diplomacy but also key drivers of public diplomacy, as they contribute to shaping a more connected, informed, and cooperative world.</v>
      </c>
      <c r="AQ46" s="61" t="str">
        <f>IFERROR(__xludf.DUMMYFUNCTION("""COMPUTED_VALUE"""),"A passion of mine is continuous learning and self-development. I have always been curious about understanding people, cultures, and how things work, which naturally pushed me to seek knowledge beyond the classroom. Over time, this passion grew through rea"&amp;"ding, participating in volunteer activities, and engaging in discussions with people from different backgrounds. It has helped me become more open-minded and adaptable in different situations.
This passion plays a key role in helping me achieve my goals "&amp;"because it keeps me motivated and focused on growth. Whenever I face challenges, I look for ways to learn from them instead of feeling discouraged. It also pushes me to improve my communication and leadership skills, which are essential for both academic "&amp;"and career success. In addition, it encourages me to set clear goals and work consistently toward them. Overall, my passion for learning shapes my decisions and helps me move forward with confidence and purpose in life.")</f>
        <v>A passion of mine is continuous learning and self-development. I have always been curious about understanding people, cultures, and how things work, which naturally pushed me to seek knowledge beyond the classroom. Over time, this passion grew through reading, participating in volunteer activities, and engaging in discussions with people from different backgrounds. It has helped me become more open-minded and adaptable in different situations.
This passion plays a key role in helping me achieve my goals because it keeps me motivated and focused on growth. Whenever I face challenges, I look for ways to learn from them instead of feeling discouraged. It also pushes me to improve my communication and leadership skills, which are essential for both academic and career success. In addition, it encourages me to set clear goals and work consistently toward them. Overall, my passion for learning shapes my decisions and helps me move forward with confidence and purpose in life.</v>
      </c>
      <c r="AR46" s="61" t="str">
        <f>IFERROR(__xludf.DUMMYFUNCTION("""COMPUTED_VALUE"""),"I would consider myself a creative person in the sense that I like to think beyond traditional approaches and find new ways to communicate ideas. Creativity, for me, is not limited to art or design, but also includes problem-solving, communication, and th"&amp;"e ability to see situations from different perspectives. I often try to express ideas in ways that are clear, engaging, and relatable to different audiences.
Creativity can play a powerful role in public diplomacy because it helps make messages more huma"&amp;"n and impactful. Instead of formal or rigid communication, creative approaches such as storytelling, digital content, cultural projects, and social media engagement can build stronger emotional connections between people from different countries. It also "&amp;"allows for breaking stereotypes and encouraging mutual understanding.
In a public diplomacy strategy, creativity can be used to design campaigns that highlight shared values, promote cultural exchange, and encourage dialogue. By using innovative methods,"&amp;" individuals and organizations can reach wider audiences and influence perceptions in a positive way. Ultimately, creativity transforms public diplomacy into a more dynamic, inclusive, and effective tool for building trust between nations.")</f>
        <v>I would consider myself a creative person in the sense that I like to think beyond traditional approaches and find new ways to communicate ideas. Creativity, for me, is not limited to art or design, but also includes problem-solving, communication, and the ability to see situations from different perspectives. I often try to express ideas in ways that are clear, engaging, and relatable to different audiences.
Creativity can play a powerful role in public diplomacy because it helps make messages more human and impactful. Instead of formal or rigid communication, creative approaches such as storytelling, digital content, cultural projects, and social media engagement can build stronger emotional connections between people from different countries. It also allows for breaking stereotypes and encouraging mutual understanding.
In a public diplomacy strategy, creativity can be used to design campaigns that highlight shared values, promote cultural exchange, and encourage dialogue. By using innovative methods, individuals and organizations can reach wider audiences and influence perceptions in a positive way. Ultimately, creativity transforms public diplomacy into a more dynamic, inclusive, and effective tool for building trust between nations.</v>
      </c>
      <c r="AS46" s="61" t="str">
        <f>IFERROR(__xludf.DUMMYFUNCTION("""COMPUTED_VALUE"""),"Yes")</f>
        <v>Yes</v>
      </c>
      <c r="AT46" s="61" t="str">
        <f>IFERROR(__xludf.DUMMYFUNCTION("""COMPUTED_VALUE"""),"Yes")</f>
        <v>Yes</v>
      </c>
      <c r="AU46" s="61" t="str">
        <f>IFERROR(__xludf.DUMMYFUNCTION("""COMPUTED_VALUE"""),"International Public Service Relations")</f>
        <v>International Public Service Relations</v>
      </c>
      <c r="AV46" s="61" t="str">
        <f>IFERROR(__xludf.DUMMYFUNCTION("""COMPUTED_VALUE"""),"From my friends referring")</f>
        <v>From my friends referring</v>
      </c>
      <c r="AW46" s="61" t="str">
        <f>IFERROR(__xludf.DUMMYFUNCTION("""COMPUTED_VALUE"""),"My preferred module in the program is Public Diplomacy in the 21st Century. This module interests me the most because it focuses on how diplomacy has evolved beyond traditional government-to-government relations into a more people-centered and communicati"&amp;"on-driven approach.  I am particularly drawn to it because it highlights the role of culture, media, technology, and youth in shaping international relations. In today’s interconnected world, public diplomacy is no longer limited to formal institutions; i"&amp;"t is also influenced by individuals, social media platforms, and grassroots initiatives. This makes the subject very relevant to my interests and future goals.  What I find most valuable in this module is its practical perspective on how countries build t"&amp;"heir image, influence global perceptions, and promote mutual understanding. It also encourages creative thinking about how to communicate effectively across cultures and reduce misunderstandings between societies.  Overall, this module aligns with my inte"&amp;"rest in communication, cultural exchange, and global engagement, and I believe it will help me develop the skills needed to contribute meaningfully to international dialogue and cooperation.")</f>
        <v>My preferred module in the program is Public Diplomacy in the 21st Century. This module interests me the most because it focuses on how diplomacy has evolved beyond traditional government-to-government relations into a more people-centered and communication-driven approach.  I am particularly drawn to it because it highlights the role of culture, media, technology, and youth in shaping international relations. In today’s interconnected world, public diplomacy is no longer limited to formal institutions; it is also influenced by individuals, social media platforms, and grassroots initiatives. This makes the subject very relevant to my interests and future goals.  What I find most valuable in this module is its practical perspective on how countries build their image, influence global perceptions, and promote mutual understanding. It also encourages creative thinking about how to communicate effectively across cultures and reduce misunderstandings between societies.  Overall, this module aligns with my interest in communication, cultural exchange, and global engagement, and I believe it will help me develop the skills needed to contribute meaningfully to international dialogue and cooperation.</v>
      </c>
      <c r="AX46" s="66" t="str">
        <f>IFERROR(__xludf.DUMMYFUNCTION("""COMPUTED_VALUE"""),"Yes")</f>
        <v>Yes</v>
      </c>
      <c r="AY46" s="66">
        <f>IFERROR(__xludf.DUMMYFUNCTION("""COMPUTED_VALUE"""),15.99)</f>
        <v>15.99</v>
      </c>
      <c r="AZ46" s="61"/>
      <c r="BA46" s="61"/>
      <c r="BB46" s="61"/>
      <c r="BC46" s="61"/>
      <c r="BD46" s="61"/>
      <c r="BE46" s="61"/>
      <c r="BF46" s="61"/>
      <c r="BG46" s="61"/>
      <c r="BH46" s="61"/>
      <c r="BI46" s="61"/>
      <c r="BJ46" s="61"/>
      <c r="BK46" s="61"/>
      <c r="BL46" s="61"/>
      <c r="BM46" s="61"/>
      <c r="BN46" s="61"/>
      <c r="BO46" s="61"/>
      <c r="BP46" s="61"/>
      <c r="BQ46" s="61"/>
      <c r="BR46" s="61"/>
    </row>
    <row r="47" ht="15.75" customHeight="1">
      <c r="A47" s="61" t="str">
        <f>IFERROR(__xludf.DUMMYFUNCTION("""COMPUTED_VALUE"""),"Partial")</f>
        <v>Partial</v>
      </c>
      <c r="B47" s="62">
        <f>IFERROR(__xludf.DUMMYFUNCTION("""COMPUTED_VALUE"""),60.0)</f>
        <v>60</v>
      </c>
      <c r="C47" s="61" t="str">
        <f>IFERROR(__xludf.DUMMYFUNCTION("""COMPUTED_VALUE"""),"Partial")</f>
        <v>Partial</v>
      </c>
      <c r="D47" s="63" t="str">
        <f>IFERROR(__xludf.DUMMYFUNCTION("""COMPUTED_VALUE"""),"Submitted")</f>
        <v>Submitted</v>
      </c>
      <c r="E47" s="63">
        <f>IFERROR(__xludf.DUMMYFUNCTION("""COMPUTED_VALUE"""),46195.14305555556)</f>
        <v>46195.14306</v>
      </c>
      <c r="F47" s="61" t="str">
        <f>IFERROR(__xludf.DUMMYFUNCTION("""COMPUTED_VALUE"""),"Victoria Erhahon")</f>
        <v>Victoria Erhahon</v>
      </c>
      <c r="G47" s="61" t="str">
        <f>IFERROR(__xludf.DUMMYFUNCTION("""COMPUTED_VALUE"""),"Victoria Agbondimwin Erhahon")</f>
        <v>Victoria Agbondimwin Erhahon</v>
      </c>
      <c r="H47" s="61" t="str">
        <f>IFERROR(__xludf.DUMMYFUNCTION("""COMPUTED_VALUE"""),"victoriaerhahon@ldvfilms.com")</f>
        <v>victoriaerhahon@ldvfilms.com</v>
      </c>
      <c r="I47" s="61" t="str">
        <f>IFERROR(__xludf.DUMMYFUNCTION("""COMPUTED_VALUE"""),"vicerhahon@gmail.com")</f>
        <v>vicerhahon@gmail.com</v>
      </c>
      <c r="J47" s="61" t="str">
        <f>IFERROR(__xludf.DUMMYFUNCTION("""COMPUTED_VALUE"""),"15, Ologometa Bus Stop, Ijoko Road, Akute, Nigeria")</f>
        <v>15, Ologometa Bus Stop, Ijoko Road, Akute, Nigeria</v>
      </c>
      <c r="K47" s="61" t="str">
        <f>IFERROR(__xludf.DUMMYFUNCTION("""COMPUTED_VALUE"""),"Nigerian")</f>
        <v>Nigerian</v>
      </c>
      <c r="L47" s="64" t="str">
        <f>IFERROR(__xludf.DUMMYFUNCTION("""COMPUTED_VALUE"""),"+2349041440565")</f>
        <v>+2349041440565</v>
      </c>
      <c r="M47" s="64">
        <f>IFERROR(__xludf.DUMMYFUNCTION("""COMPUTED_VALUE"""),34760.0)</f>
        <v>34760</v>
      </c>
      <c r="N47" s="61" t="str">
        <f>IFERROR(__xludf.DUMMYFUNCTION("""COMPUTED_VALUE"""),"B01883996")</f>
        <v>B01883996</v>
      </c>
      <c r="O47" s="61" t="str">
        <f>IFERROR(__xludf.DUMMYFUNCTION("""COMPUTED_VALUE"""),"+234802349163")</f>
        <v>+234802349163</v>
      </c>
      <c r="P47" s="67" t="str">
        <f>IFERROR(__xludf.DUMMYFUNCTION("""COMPUTED_VALUE"""),"https://www.linkedin.com/in/victoria-agbondimwin/")</f>
        <v>https://www.linkedin.com/in/victoria-agbondimwin/</v>
      </c>
      <c r="Q47" s="61"/>
      <c r="R47" s="61"/>
      <c r="S47" s="61" t="str">
        <f>IFERROR(__xludf.DUMMYFUNCTION("""COMPUTED_VALUE"""),"Victoria Erhahon - Passport Bio Data.pdf")</f>
        <v>Victoria Erhahon - Passport Bio Data.pdf</v>
      </c>
      <c r="T47" s="61" t="str">
        <f>IFERROR(__xludf.DUMMYFUNCTION("""COMPUTED_VALUE"""),"Victoria Erhahon - Headshot.jpg")</f>
        <v>Victoria Erhahon - Headshot.jpg</v>
      </c>
      <c r="U47" s="61" t="str">
        <f>IFERROR(__xludf.DUMMYFUNCTION("""COMPUTED_VALUE"""),"Bachelors")</f>
        <v>Bachelors</v>
      </c>
      <c r="V47" s="61" t="str">
        <f>IFERROR(__xludf.DUMMYFUNCTION("""COMPUTED_VALUE"""),"Bachelor of Arts")</f>
        <v>Bachelor of Arts</v>
      </c>
      <c r="W47" s="61" t="str">
        <f>IFERROR(__xludf.DUMMYFUNCTION("""COMPUTED_VALUE"""),"Theatre Arts")</f>
        <v>Theatre Arts</v>
      </c>
      <c r="X47" s="61" t="str">
        <f>IFERROR(__xludf.DUMMYFUNCTION("""COMPUTED_VALUE"""),"University of Ibadan")</f>
        <v>University of Ibadan</v>
      </c>
      <c r="Y47" s="61" t="str">
        <f>IFERROR(__xludf.DUMMYFUNCTION("""COMPUTED_VALUE"""),"No")</f>
        <v>No</v>
      </c>
      <c r="Z47" s="61" t="str">
        <f>IFERROR(__xludf.DUMMYFUNCTION("""COMPUTED_VALUE"""),"Nigeria")</f>
        <v>Nigeria</v>
      </c>
      <c r="AA47" s="61" t="str">
        <f>IFERROR(__xludf.DUMMYFUNCTION("""COMPUTED_VALUE"""),"No")</f>
        <v>No</v>
      </c>
      <c r="AB47" s="61"/>
      <c r="AC47" s="61" t="str">
        <f>IFERROR(__xludf.DUMMYFUNCTION("""COMPUTED_VALUE"""),"Yes")</f>
        <v>Yes</v>
      </c>
      <c r="AD47" s="61" t="str">
        <f>IFERROR(__xludf.DUMMYFUNCTION("""COMPUTED_VALUE"""),"No")</f>
        <v>No</v>
      </c>
      <c r="AE47" s="65" t="str">
        <f>IFERROR(__xludf.DUMMYFUNCTION("""COMPUTED_VALUE"""),"https://N/A")</f>
        <v>https://N/A</v>
      </c>
      <c r="AF47" s="61" t="str">
        <f>IFERROR(__xludf.DUMMYFUNCTION("""COMPUTED_VALUE"""),"N/A")</f>
        <v>N/A</v>
      </c>
      <c r="AG47" s="61" t="str">
        <f>IFERROR(__xludf.DUMMYFUNCTION("""COMPUTED_VALUE"""),"N/A")</f>
        <v>N/A</v>
      </c>
      <c r="AH47" s="61" t="str">
        <f>IFERROR(__xludf.DUMMYFUNCTION("""COMPUTED_VALUE"""),"Yes")</f>
        <v>Yes</v>
      </c>
      <c r="AI47" s="61" t="str">
        <f>IFERROR(__xludf.DUMMYFUNCTION("""COMPUTED_VALUE"""),"Founder")</f>
        <v>Founder</v>
      </c>
      <c r="AJ47" s="61" t="str">
        <f>IFERROR(__xludf.DUMMYFUNCTION("""COMPUTED_VALUE"""),"Nil")</f>
        <v>Nil</v>
      </c>
      <c r="AK47" s="61" t="str">
        <f>IFERROR(__xludf.DUMMYFUNCTION("""COMPUTED_VALUE"""),"N/A")</f>
        <v>N/A</v>
      </c>
      <c r="AL47" s="61" t="str">
        <f>IFERROR(__xludf.DUMMYFUNCTION("""COMPUTED_VALUE"""),"Film Sales Agent, Theatre Production")</f>
        <v>Film Sales Agent, Theatre Production</v>
      </c>
      <c r="AM47" s="61" t="str">
        <f>IFERROR(__xludf.DUMMYFUNCTION("""COMPUTED_VALUE"""),"Victoria Erhahon - CV 2026 - Summits, Forums and Conferences.pdf")</f>
        <v>Victoria Erhahon - CV 2026 - Summits, Forums and Conferences.pdf</v>
      </c>
      <c r="AN47" s="61" t="str">
        <f>IFERROR(__xludf.DUMMYFUNCTION("""COMPUTED_VALUE"""),"Before founding my film sales agency, I noticed film buyers and distribution companies focused more on films from the Western world to be sold to global audiences. Even film festivals had sections for North American films and Spanish-speaking films but di"&amp;"dn't have sections for films from other countries besides countries that are of major focus (USA, UK, Canada, Australia, and Mexico). I decided to establish my film sales agency that focused on representing films with strong cultural identity themes.")</f>
        <v>Before founding my film sales agency, I noticed film buyers and distribution companies focused more on films from the Western world to be sold to global audiences. Even film festivals had sections for North American films and Spanish-speaking films but didn't have sections for films from other countries besides countries that are of major focus (USA, UK, Canada, Australia, and Mexico). I decided to establish my film sales agency that focused on representing films with strong cultural identity themes.</v>
      </c>
      <c r="AO47" s="61" t="str">
        <f>IFERROR(__xludf.DUMMYFUNCTION("""COMPUTED_VALUE"""),"The United States and China are the diplomatically significant countries in the world. For global sales, the U.S. dollar is the main currency used, not even the euro or pounds that have a higher value than the dollar. In most cases, whenever there is a ch"&amp;"ange in policy as it regards immigration, Canada, the UK, and Australia tend to follow the same pathways in changing their policies. China is a global manufacturing powerhouse. When I think of vendors on Alibaba, Temu, and AliExpress, China comes to mind.")</f>
        <v>The United States and China are the diplomatically significant countries in the world. For global sales, the U.S. dollar is the main currency used, not even the euro or pounds that have a higher value than the dollar. In most cases, whenever there is a change in policy as it regards immigration, Canada, the UK, and Australia tend to follow the same pathways in changing their policies. China is a global manufacturing powerhouse. When I think of vendors on Alibaba, Temu, and AliExpress, China comes to mind.</v>
      </c>
      <c r="AP47" s="61" t="str">
        <f>IFERROR(__xludf.DUMMYFUNCTION("""COMPUTED_VALUE"""),"My theatrical background taught me the power of empathy and how to build and mold narratives that transcend beyond the local territories they were born in. In my new role as a founder, I am a cultural gatekeeper and a bride builder. The world needs to see"&amp;" quality films rooted in the countries they are born in. I believe stories can still be told through a cultural lens. My film sales start-up business packages films from diverse parts of the world rooted in culture and exports them directly to a global au"&amp;"dience through cinema. As a film sales startup founder, I've realized public diplomacy happens people to people, and nothing connects people faster than stories. With this in mind, I do not see public diplomacy as an abstract political idea but a tangible"&amp;" and unavoidable commercial practice.
The role of youths today is to disrupt channels that are stale using creativity, agility, and technology. As a young founder, I don't wait for the government alliances to build international relationships. We are cor"&amp;"rectly in talks with filmmakers from india and argentina to help position their films to global audiences.")</f>
        <v>My theatrical background taught me the power of empathy and how to build and mold narratives that transcend beyond the local territories they were born in. In my new role as a founder, I am a cultural gatekeeper and a bride builder. The world needs to see quality films rooted in the countries they are born in. I believe stories can still be told through a cultural lens. My film sales start-up business packages films from diverse parts of the world rooted in culture and exports them directly to a global audience through cinema. As a film sales startup founder, I've realized public diplomacy happens people to people, and nothing connects people faster than stories. With this in mind, I do not see public diplomacy as an abstract political idea but a tangible and unavoidable commercial practice.
The role of youths today is to disrupt channels that are stale using creativity, agility, and technology. As a young founder, I don't wait for the government alliances to build international relationships. We are correctly in talks with filmmakers from india and argentina to help position their films to global audiences.</v>
      </c>
      <c r="AQ47" s="61" t="str">
        <f>IFERROR(__xludf.DUMMYFUNCTION("""COMPUTED_VALUE"""),"I see passion as the fire that burns within the soul of a person. For the fire to keep burning, you need to keep fanning the flames. Passion is the driving force that pushes someone into perfecting a skill they have no foundational knowledge of. Passion k"&amp;"eeps the human interest at an all-time high to devour knowledge on a particular industry. I remember in 2018 when I learned makeup artistry, I would read several magazines to see the editorial looks that were created on the models and as soon as possible "&amp;"recreate those looks on my friends and send them to my trainer to assess and critique. I did the same for bridal looks. The passion I had for makeup made me want to keep trying to get better even when, at that point in time, my skills were nowhere near go"&amp;"od.")</f>
        <v>I see passion as the fire that burns within the soul of a person. For the fire to keep burning, you need to keep fanning the flames. Passion is the driving force that pushes someone into perfecting a skill they have no foundational knowledge of. Passion keeps the human interest at an all-time high to devour knowledge on a particular industry. I remember in 2018 when I learned makeup artistry, I would read several magazines to see the editorial looks that were created on the models and as soon as possible recreate those looks on my friends and send them to my trainer to assess and critique. I did the same for bridal looks. The passion I had for makeup made me want to keep trying to get better even when, at that point in time, my skills were nowhere near good.</v>
      </c>
      <c r="AR47" s="61" t="str">
        <f>IFERROR(__xludf.DUMMYFUNCTION("""COMPUTED_VALUE"""),"Yes, my creativity is rooted in recognizing and selecting stories rooted in culture that transcend beyond the home country they were born in and building commercial medium and strategies to share them with a global audience. As a film sales founder, I see"&amp;" cinema as the absolute and efficient tool for public diplomacy because moving pictures evoke empathy quicker than policy papers. A great movie has the ability to evoke emotions from the audience. Have you ever seen an audience hate an actor because of th"&amp;"e antagonistic role he/she played in the movie? The audience automatically thinks that's the true character of the actor in real life. For a strategy to be effective, it needs to leverage the arts and media (film and entertainment) in order to humanize a "&amp;"nation, shift global perceptions, and build economic soft power. We've all seen how the media shapes a popular figure or celebrity, and the audience's perception of that person changes just because of what they've read or heard in the news. People tend to"&amp;" trust the media more without doing due diligence of cross-checking and waiting for time to reveal if the broadcasted information is true or false.")</f>
        <v>Yes, my creativity is rooted in recognizing and selecting stories rooted in culture that transcend beyond the home country they were born in and building commercial medium and strategies to share them with a global audience. As a film sales founder, I see cinema as the absolute and efficient tool for public diplomacy because moving pictures evoke empathy quicker than policy papers. A great movie has the ability to evoke emotions from the audience. Have you ever seen an audience hate an actor because of the antagonistic role he/she played in the movie? The audience automatically thinks that's the true character of the actor in real life. For a strategy to be effective, it needs to leverage the arts and media (film and entertainment) in order to humanize a nation, shift global perceptions, and build economic soft power. We've all seen how the media shapes a popular figure or celebrity, and the audience's perception of that person changes just because of what they've read or heard in the news. People tend to trust the media more without doing due diligence of cross-checking and waiting for time to reveal if the broadcasted information is true or false.</v>
      </c>
      <c r="AS47" s="61" t="str">
        <f>IFERROR(__xludf.DUMMYFUNCTION("""COMPUTED_VALUE"""),"No")</f>
        <v>No</v>
      </c>
      <c r="AT47" s="61" t="str">
        <f>IFERROR(__xludf.DUMMYFUNCTION("""COMPUTED_VALUE"""),"Yes")</f>
        <v>Yes</v>
      </c>
      <c r="AU47" s="61" t="str">
        <f>IFERROR(__xludf.DUMMYFUNCTION("""COMPUTED_VALUE"""),"Arts, Culture &amp; Soft Power")</f>
        <v>Arts, Culture &amp; Soft Power</v>
      </c>
      <c r="AV47" s="65" t="str">
        <f>IFERROR(__xludf.DUMMYFUNCTION("""COMPUTED_VALUE"""),"opportunitiescorners.com")</f>
        <v>opportunitiescorners.com</v>
      </c>
      <c r="AW47" s="61" t="str">
        <f>IFERROR(__xludf.DUMMYFUNCTION("""COMPUTED_VALUE"""),"Strategic Communication &amp; Soft, Smart and Hard Power")</f>
        <v>Strategic Communication &amp; Soft, Smart and Hard Power</v>
      </c>
      <c r="AX47" s="66" t="str">
        <f>IFERROR(__xludf.DUMMYFUNCTION("""COMPUTED_VALUE"""),"Yes")</f>
        <v>Yes</v>
      </c>
      <c r="AY47" s="66">
        <f>IFERROR(__xludf.DUMMYFUNCTION("""COMPUTED_VALUE"""),15.99)</f>
        <v>15.99</v>
      </c>
      <c r="AZ47" s="61"/>
      <c r="BA47" s="61"/>
      <c r="BB47" s="61"/>
      <c r="BC47" s="61"/>
      <c r="BD47" s="61"/>
      <c r="BE47" s="61"/>
      <c r="BF47" s="61"/>
      <c r="BG47" s="61"/>
      <c r="BH47" s="61"/>
      <c r="BI47" s="61"/>
      <c r="BJ47" s="61"/>
      <c r="BK47" s="61"/>
      <c r="BL47" s="61"/>
      <c r="BM47" s="61"/>
      <c r="BN47" s="61"/>
      <c r="BO47" s="61"/>
      <c r="BP47" s="61"/>
      <c r="BQ47" s="61"/>
      <c r="BR47" s="61"/>
    </row>
    <row r="48" ht="15.75" customHeight="1">
      <c r="A48" s="61" t="str">
        <f>IFERROR(__xludf.DUMMYFUNCTION("""COMPUTED_VALUE"""),"Self")</f>
        <v>Self</v>
      </c>
      <c r="B48" s="62">
        <f>IFERROR(__xludf.DUMMYFUNCTION("""COMPUTED_VALUE"""),61.0)</f>
        <v>61</v>
      </c>
      <c r="C48" s="61" t="str">
        <f>IFERROR(__xludf.DUMMYFUNCTION("""COMPUTED_VALUE"""),"Self")</f>
        <v>Self</v>
      </c>
      <c r="D48" s="63" t="str">
        <f>IFERROR(__xludf.DUMMYFUNCTION("""COMPUTED_VALUE"""),"Submitted")</f>
        <v>Submitted</v>
      </c>
      <c r="E48" s="63">
        <f>IFERROR(__xludf.DUMMYFUNCTION("""COMPUTED_VALUE"""),46195.18958333333)</f>
        <v>46195.18958</v>
      </c>
      <c r="F48" s="61" t="str">
        <f>IFERROR(__xludf.DUMMYFUNCTION("""COMPUTED_VALUE"""),"Misikir Melkamu Anteneh")</f>
        <v>Misikir Melkamu Anteneh</v>
      </c>
      <c r="G48" s="61" t="str">
        <f>IFERROR(__xludf.DUMMYFUNCTION("""COMPUTED_VALUE"""),"Misikir Melkamu Anteneh")</f>
        <v>Misikir Melkamu Anteneh</v>
      </c>
      <c r="H48" s="61" t="str">
        <f>IFERROR(__xludf.DUMMYFUNCTION("""COMPUTED_VALUE"""),"misikirmelkamu1989@gmail.com")</f>
        <v>misikirmelkamu1989@gmail.com</v>
      </c>
      <c r="I48" s="61" t="str">
        <f>IFERROR(__xludf.DUMMYFUNCTION("""COMPUTED_VALUE"""),"witnessanteneh@gmail.com")</f>
        <v>witnessanteneh@gmail.com</v>
      </c>
      <c r="J48" s="61" t="str">
        <f>IFERROR(__xludf.DUMMYFUNCTION("""COMPUTED_VALUE"""),"GC 057 6430 ACCRA, GHANA, ACCRA, Ghana")</f>
        <v>GC 057 6430 ACCRA, GHANA, ACCRA, Ghana</v>
      </c>
      <c r="K48" s="61" t="str">
        <f>IFERROR(__xludf.DUMMYFUNCTION("""COMPUTED_VALUE"""),"Ethiopian")</f>
        <v>Ethiopian</v>
      </c>
      <c r="L48" s="64" t="str">
        <f>IFERROR(__xludf.DUMMYFUNCTION("""COMPUTED_VALUE"""),"+233592272309")</f>
        <v>+233592272309</v>
      </c>
      <c r="M48" s="64">
        <f>IFERROR(__xludf.DUMMYFUNCTION("""COMPUTED_VALUE"""),34963.0)</f>
        <v>34963</v>
      </c>
      <c r="N48" s="61" t="str">
        <f>IFERROR(__xludf.DUMMYFUNCTION("""COMPUTED_VALUE"""),"EP8710951")</f>
        <v>EP8710951</v>
      </c>
      <c r="O48" s="61" t="str">
        <f>IFERROR(__xludf.DUMMYFUNCTION("""COMPUTED_VALUE"""),"Bewketu Melkamu")</f>
        <v>Bewketu Melkamu</v>
      </c>
      <c r="P48" s="61"/>
      <c r="Q48" s="61"/>
      <c r="R48" s="61"/>
      <c r="S48" s="61" t="str">
        <f>IFERROR(__xludf.DUMMYFUNCTION("""COMPUTED_VALUE"""),"Misikir_p.pdf")</f>
        <v>Misikir_p.pdf</v>
      </c>
      <c r="T48" s="61" t="str">
        <f>IFERROR(__xludf.DUMMYFUNCTION("""COMPUTED_VALUE"""),"4x5-min.jpg")</f>
        <v>4x5-min.jpg</v>
      </c>
      <c r="U48" s="61" t="str">
        <f>IFERROR(__xludf.DUMMYFUNCTION("""COMPUTED_VALUE"""),"Masters")</f>
        <v>Masters</v>
      </c>
      <c r="V48" s="61" t="str">
        <f>IFERROR(__xludf.DUMMYFUNCTION("""COMPUTED_VALUE"""),"MSc")</f>
        <v>MSc</v>
      </c>
      <c r="W48" s="61" t="str">
        <f>IFERROR(__xludf.DUMMYFUNCTION("""COMPUTED_VALUE"""),"Intelligent system Engineering")</f>
        <v>Intelligent system Engineering</v>
      </c>
      <c r="X48" s="61" t="str">
        <f>IFERROR(__xludf.DUMMYFUNCTION("""COMPUTED_VALUE"""),"Pentecost University")</f>
        <v>Pentecost University</v>
      </c>
      <c r="Y48" s="61" t="str">
        <f>IFERROR(__xludf.DUMMYFUNCTION("""COMPUTED_VALUE"""),"Yes")</f>
        <v>Yes</v>
      </c>
      <c r="Z48" s="61" t="str">
        <f>IFERROR(__xludf.DUMMYFUNCTION("""COMPUTED_VALUE"""),"Ghana")</f>
        <v>Ghana</v>
      </c>
      <c r="AA48" s="61" t="str">
        <f>IFERROR(__xludf.DUMMYFUNCTION("""COMPUTED_VALUE"""),"Yes")</f>
        <v>Yes</v>
      </c>
      <c r="AB48" s="61" t="str">
        <f>IFERROR(__xludf.DUMMYFUNCTION("""COMPUTED_VALUE"""),"South Africa")</f>
        <v>South Africa</v>
      </c>
      <c r="AC48" s="61" t="str">
        <f>IFERROR(__xludf.DUMMYFUNCTION("""COMPUTED_VALUE"""),"Yes")</f>
        <v>Yes</v>
      </c>
      <c r="AD48" s="61" t="str">
        <f>IFERROR(__xludf.DUMMYFUNCTION("""COMPUTED_VALUE"""),"Bahir Dar University")</f>
        <v>Bahir Dar University</v>
      </c>
      <c r="AE48" s="65" t="str">
        <f>IFERROR(__xludf.DUMMYFUNCTION("""COMPUTED_VALUE"""),"https://www.bdu.edu.et")</f>
        <v>https://www.bdu.edu.et</v>
      </c>
      <c r="AF48" s="61" t="str">
        <f>IFERROR(__xludf.DUMMYFUNCTION("""COMPUTED_VALUE"""),"Summer teaching assistance for distance learners")</f>
        <v>Summer teaching assistance for distance learners</v>
      </c>
      <c r="AG48" s="61" t="str">
        <f>IFERROR(__xludf.DUMMYFUNCTION("""COMPUTED_VALUE"""),"1 year")</f>
        <v>1 year</v>
      </c>
      <c r="AH48" s="61" t="str">
        <f>IFERROR(__xludf.DUMMYFUNCTION("""COMPUTED_VALUE"""),"Yes")</f>
        <v>Yes</v>
      </c>
      <c r="AI48" s="61" t="str">
        <f>IFERROR(__xludf.DUMMYFUNCTION("""COMPUTED_VALUE"""),"I was employed as a full-time employer in Ethiopian Electric Power Company as a Mechanical Engineer.")</f>
        <v>I was employed as a full-time employer in Ethiopian Electric Power Company as a Mechanical Engineer.</v>
      </c>
      <c r="AJ48" s="61" t="str">
        <f>IFERROR(__xludf.DUMMYFUNCTION("""COMPUTED_VALUE"""),"NO")</f>
        <v>NO</v>
      </c>
      <c r="AK48" s="61"/>
      <c r="AL48" s="61" t="str">
        <f>IFERROR(__xludf.DUMMYFUNCTION("""COMPUTED_VALUE"""),"Engineer especially in mechanical and manufacturing sector")</f>
        <v>Engineer especially in mechanical and manufacturing sector</v>
      </c>
      <c r="AM48" s="61" t="str">
        <f>IFERROR(__xludf.DUMMYFUNCTION("""COMPUTED_VALUE"""),"Misikir_CV.pdf")</f>
        <v>Misikir_CV.pdf</v>
      </c>
      <c r="AN48" s="61" t="str">
        <f>IFERROR(__xludf.DUMMYFUNCTION("""COMPUTED_VALUE"""),"Yes. I think that's the place to start making a difference is in your community. As a Mechanical Engineering graduate and a young researcher, my efforts have been dedicated to the field of promoting sustainable development both through engineering innovat"&amp;"ion and by engaging with the youth and sharing knowledge. I have been involved in leadership initiatives, as well as mentoring other students, and leading a discussion on technology solutions for industries to achieve efficiency and environmental sustaina"&amp;"bility. My research focus on intelligent systems and sustainable manufacturing is to propose solutions that are viable and reduce the waste of resources while contributing to the economic development. These experiences have reinforced my dedication to inn"&amp;"ovation, collaboration and responsible leadership for creating positive impact.")</f>
        <v>Yes. I think that's the place to start making a difference is in your community. As a Mechanical Engineering graduate and a young researcher, my efforts have been dedicated to the field of promoting sustainable development both through engineering innovation and by engaging with the youth and sharing knowledge. I have been involved in leadership initiatives, as well as mentoring other students, and leading a discussion on technology solutions for industries to achieve efficiency and environmental sustainability. My research focus on intelligent systems and sustainable manufacturing is to propose solutions that are viable and reduce the waste of resources while contributing to the economic development. These experiences have reinforced my dedication to innovation, collaboration and responsible leadership for creating positive impact.</v>
      </c>
      <c r="AO48" s="61" t="str">
        <f>IFERROR(__xludf.DUMMYFUNCTION("""COMPUTED_VALUE"""),"I don't think there is any country today that is the most important all the time, but that depends on what tasks a country can perform that can contribute to dialogue, cooperation and peaceful solution to global challenges. Strategically located, cultural"&amp;"ly diverse and actively participating in regional and international diplomacy, Indonesia is a strong example. Indonesia is a world's largest democracy, as well as a link between the developed and developing world, and supports multilateral cooperation, in"&amp;"tercultural understanding and sustainable development. Its focus on dialogue and inclusiveness illustrates the power of diplomacy to bring together people from different backgrounds and promote peace and development.")</f>
        <v>I don't think there is any country today that is the most important all the time, but that depends on what tasks a country can perform that can contribute to dialogue, cooperation and peaceful solution to global challenges. Strategically located, culturally diverse and actively participating in regional and international diplomacy, Indonesia is a strong example. Indonesia is a world's largest democracy, as well as a link between the developed and developing world, and supports multilateral cooperation, intercultural understanding and sustainable development. Its focus on dialogue and inclusiveness illustrates the power of diplomacy to bring together people from different backgrounds and promote peace and development.</v>
      </c>
      <c r="AP48" s="61" t="str">
        <f>IFERROR(__xludf.DUMMYFUNCTION("""COMPUTED_VALUE"""),"Youth hold a key position in diplomacy, adding innovation, diversity of thinking and a long-term perspective to the challenges of the world. Diplomacy is no longer just the province of governments; today's youth add to that in their role as learners, inno"&amp;"vators, entrepreneurs, culture bearers, and community members. They are able to cross the boundaries and develop understanding and peaceful cooperation. I appreciate the concept of public diplomacy as public diplomacy is the key to positive changes when p"&amp;"eople from different cultures engage in dialogue and co-operation for mutual objectives. I am an engineering researcher who sees technology as a language that can bring communities together and solve the problems of the world including climate change, sus"&amp;"tainable industrial growth and efficiency of resources and materials. I research, lead and work internationally to make a contribution to solutions that benefit society, beyond national boundaries.
Public diplomacy values and ideas and cultures instill c"&amp;"itizens to be their country's representatives. I believe that engaging in international events, like the Young Public Diplomacy Summit, can help me improve my intercultural communication abilities, have the chance to meet future leaders and, through coope"&amp;"ration and respect, make the world a better place.")</f>
        <v>Youth hold a key position in diplomacy, adding innovation, diversity of thinking and a long-term perspective to the challenges of the world. Diplomacy is no longer just the province of governments; today's youth add to that in their role as learners, innovators, entrepreneurs, culture bearers, and community members. They are able to cross the boundaries and develop understanding and peaceful cooperation. I appreciate the concept of public diplomacy as public diplomacy is the key to positive changes when people from different cultures engage in dialogue and co-operation for mutual objectives. I am an engineering researcher who sees technology as a language that can bring communities together and solve the problems of the world including climate change, sustainable industrial growth and efficiency of resources and materials. I research, lead and work internationally to make a contribution to solutions that benefit society, beyond national boundaries.
Public diplomacy values and ideas and cultures instill citizens to be their country's representatives. I believe that engaging in international events, like the Young Public Diplomacy Summit, can help me improve my intercultural communication abilities, have the chance to meet future leaders and, through cooperation and respect, make the world a better place.</v>
      </c>
      <c r="AQ48" s="61" t="str">
        <f>IFERROR(__xludf.DUMMYFUNCTION("""COMPUTED_VALUE"""),"Passion is the motivation within people to do something for a real purpose, with commitment, endurance and determination. It motivates during difficulties and fosters learning and self-improvement. Passion, in my mind, is not just enthusiasm, it is a comm"&amp;"itment to making a difference in the world as an engineer, innovator and leader. I am driven by the passion for intelligent systems and sustainable development to look for solutions to real world challenges in industry, energy and sustainable development."&amp;" It inspires me to focus on research, to learn new skills, and to look for opportunities to connect beyond what I am typically involved with. When I'm having challenges, it also gives me the strength to perseverate, so when I have to think about the long-"&amp;"term goal, not the short-term problem. Finally, it is a way to make my dreams come true and allows me to make a positive impact on society, while furthering my personal and professional objectives.")</f>
        <v>Passion is the motivation within people to do something for a real purpose, with commitment, endurance and determination. It motivates during difficulties and fosters learning and self-improvement. Passion, in my mind, is not just enthusiasm, it is a commitment to making a difference in the world as an engineer, innovator and leader. I am driven by the passion for intelligent systems and sustainable development to look for solutions to real world challenges in industry, energy and sustainable development. It inspires me to focus on research, to learn new skills, and to look for opportunities to connect beyond what I am typically involved with. When I'm having challenges, it also gives me the strength to perseverate, so when I have to think about the long-term goal, not the short-term problem. Finally, it is a way to make my dreams come true and allows me to make a positive impact on society, while furthering my personal and professional objectives.</v>
      </c>
      <c r="AR48" s="61" t="str">
        <f>IFERROR(__xludf.DUMMYFUNCTION("""COMPUTED_VALUE"""),"I feel I am a creative person because I like to find new ways to link ideas, people and technologies, and also like to find innovative solutions to complex problems. Creativity helps people to express themselves, work in different settings and find soluti"&amp;"ons that make a difference. Creativity can be translated into an effective strategy when creativity is used as a tool for engagement and collaboration in the context of public diplomacy. For instance, technology, digital platforms and cross-cultural initi"&amp;"atives can encourage dialogue between different cultures. Creative solutions simplify complex issues from around the world and help to increase global engagement in conversations.
I want to be a creative engineer and researcher, to share knowledge, to pr"&amp;"omote sustainable development and intercultural understanding. I can foster partnerships across geographical and cultural boundaries through technological innovation and effective communication. Public diplomacy is best done when it establishes real links"&amp;" and creativity is the vehicle to connect, inspire, and produce solutions that benefit communities around the world. I want to be a part of making the world a more connected world, where everyone is included and works together.")</f>
        <v>I feel I am a creative person because I like to find new ways to link ideas, people and technologies, and also like to find innovative solutions to complex problems. Creativity helps people to express themselves, work in different settings and find solutions that make a difference. Creativity can be translated into an effective strategy when creativity is used as a tool for engagement and collaboration in the context of public diplomacy. For instance, technology, digital platforms and cross-cultural initiatives can encourage dialogue between different cultures. Creative solutions simplify complex issues from around the world and help to increase global engagement in conversations.
I want to be a creative engineer and researcher, to share knowledge, to promote sustainable development and intercultural understanding. I can foster partnerships across geographical and cultural boundaries through technological innovation and effective communication. Public diplomacy is best done when it establishes real links and creativity is the vehicle to connect, inspire, and produce solutions that benefit communities around the world. I want to be a part of making the world a more connected world, where everyone is included and works together.</v>
      </c>
      <c r="AS48" s="61" t="str">
        <f>IFERROR(__xludf.DUMMYFUNCTION("""COMPUTED_VALUE"""),"Yes")</f>
        <v>Yes</v>
      </c>
      <c r="AT48" s="61" t="str">
        <f>IFERROR(__xludf.DUMMYFUNCTION("""COMPUTED_VALUE"""),"No")</f>
        <v>No</v>
      </c>
      <c r="AU48" s="61" t="str">
        <f>IFERROR(__xludf.DUMMYFUNCTION("""COMPUTED_VALUE"""),"Strategy, Peace &amp; Cultural Diplomacy")</f>
        <v>Strategy, Peace &amp; Cultural Diplomacy</v>
      </c>
      <c r="AV48" s="61" t="str">
        <f>IFERROR(__xludf.DUMMYFUNCTION("""COMPUTED_VALUE"""),"Scholarship portals")</f>
        <v>Scholarship portals</v>
      </c>
      <c r="AW48" s="61" t="str">
        <f>IFERROR(__xludf.DUMMYFUNCTION("""COMPUTED_VALUE"""),"Strategy peace and cultural diplomacy")</f>
        <v>Strategy peace and cultural diplomacy</v>
      </c>
      <c r="AX48" s="66" t="str">
        <f>IFERROR(__xludf.DUMMYFUNCTION("""COMPUTED_VALUE"""),"Yes")</f>
        <v>Yes</v>
      </c>
      <c r="AY48" s="66">
        <f>IFERROR(__xludf.DUMMYFUNCTION("""COMPUTED_VALUE"""),15.99)</f>
        <v>15.99</v>
      </c>
      <c r="AZ48" s="61"/>
      <c r="BA48" s="61"/>
      <c r="BB48" s="61"/>
      <c r="BC48" s="61"/>
      <c r="BD48" s="61"/>
      <c r="BE48" s="61"/>
      <c r="BF48" s="61"/>
      <c r="BG48" s="61"/>
      <c r="BH48" s="61"/>
      <c r="BI48" s="61"/>
      <c r="BJ48" s="61"/>
      <c r="BK48" s="61"/>
      <c r="BL48" s="61"/>
      <c r="BM48" s="61"/>
      <c r="BN48" s="61"/>
      <c r="BO48" s="61"/>
      <c r="BP48" s="61"/>
      <c r="BQ48" s="61"/>
      <c r="BR48" s="61"/>
    </row>
    <row r="49" ht="15.75" customHeight="1">
      <c r="A49" s="61" t="str">
        <f>IFERROR(__xludf.DUMMYFUNCTION("""COMPUTED_VALUE"""),"Self")</f>
        <v>Self</v>
      </c>
      <c r="B49" s="62">
        <f>IFERROR(__xludf.DUMMYFUNCTION("""COMPUTED_VALUE"""),62.0)</f>
        <v>62</v>
      </c>
      <c r="C49" s="61" t="str">
        <f>IFERROR(__xludf.DUMMYFUNCTION("""COMPUTED_VALUE"""),"Self")</f>
        <v>Self</v>
      </c>
      <c r="D49" s="63" t="str">
        <f>IFERROR(__xludf.DUMMYFUNCTION("""COMPUTED_VALUE"""),"Submitted")</f>
        <v>Submitted</v>
      </c>
      <c r="E49" s="63">
        <f>IFERROR(__xludf.DUMMYFUNCTION("""COMPUTED_VALUE"""),46195.89236111111)</f>
        <v>46195.89236</v>
      </c>
      <c r="F49" s="61" t="str">
        <f>IFERROR(__xludf.DUMMYFUNCTION("""COMPUTED_VALUE"""),"Aly savane")</f>
        <v>Aly savane</v>
      </c>
      <c r="G49" s="61" t="str">
        <f>IFERROR(__xludf.DUMMYFUNCTION("""COMPUTED_VALUE"""),"Aly savane")</f>
        <v>Aly savane</v>
      </c>
      <c r="H49" s="61" t="str">
        <f>IFERROR(__xludf.DUMMYFUNCTION("""COMPUTED_VALUE"""),"savanealy@yahoo.fr")</f>
        <v>savanealy@yahoo.fr</v>
      </c>
      <c r="I49" s="61" t="str">
        <f>IFERROR(__xludf.DUMMYFUNCTION("""COMPUTED_VALUE"""),"savanealy79@gmail.com")</f>
        <v>savanealy79@gmail.com</v>
      </c>
      <c r="J49" s="61" t="str">
        <f>IFERROR(__xludf.DUMMYFUNCTION("""COMPUTED_VALUE"""),"16 dana st, revere, United States")</f>
        <v>16 dana st, revere, United States</v>
      </c>
      <c r="K49" s="61" t="str">
        <f>IFERROR(__xludf.DUMMYFUNCTION("""COMPUTED_VALUE"""),"America")</f>
        <v>America</v>
      </c>
      <c r="L49" s="64" t="str">
        <f>IFERROR(__xludf.DUMMYFUNCTION("""COMPUTED_VALUE"""),"16146152213")</f>
        <v>16146152213</v>
      </c>
      <c r="M49" s="64">
        <f>IFERROR(__xludf.DUMMYFUNCTION("""COMPUTED_VALUE"""),32696.0)</f>
        <v>32696</v>
      </c>
      <c r="N49" s="61" t="str">
        <f>IFERROR(__xludf.DUMMYFUNCTION("""COMPUTED_VALUE"""),"A11842613")</f>
        <v>A11842613</v>
      </c>
      <c r="O49" s="61" t="str">
        <f>IFERROR(__xludf.DUMMYFUNCTION("""COMPUTED_VALUE"""),"6146152213")</f>
        <v>6146152213</v>
      </c>
      <c r="P49" s="61" t="str">
        <f>IFERROR(__xludf.DUMMYFUNCTION("""COMPUTED_VALUE"""),"Aly savane")</f>
        <v>Aly savane</v>
      </c>
      <c r="Q49" s="61" t="str">
        <f>IFERROR(__xludf.DUMMYFUNCTION("""COMPUTED_VALUE"""),"nevasa_al")</f>
        <v>nevasa_al</v>
      </c>
      <c r="R49" s="61" t="str">
        <f>IFERROR(__xludf.DUMMYFUNCTION("""COMPUTED_VALUE"""),"nevasa_al")</f>
        <v>nevasa_al</v>
      </c>
      <c r="S49" s="61" t="str">
        <f>IFERROR(__xludf.DUMMYFUNCTION("""COMPUTED_VALUE"""),"IMG_1439.JPG")</f>
        <v>IMG_1439.JPG</v>
      </c>
      <c r="T49" s="61" t="str">
        <f>IFERROR(__xludf.DUMMYFUNCTION("""COMPUTED_VALUE"""),"View recent photos.jpeg")</f>
        <v>View recent photos.jpeg</v>
      </c>
      <c r="U49" s="61" t="str">
        <f>IFERROR(__xludf.DUMMYFUNCTION("""COMPUTED_VALUE"""),"Bachelors")</f>
        <v>Bachelors</v>
      </c>
      <c r="V49" s="61" t="str">
        <f>IFERROR(__xludf.DUMMYFUNCTION("""COMPUTED_VALUE"""),"Global Affairs")</f>
        <v>Global Affairs</v>
      </c>
      <c r="W49" s="61" t="str">
        <f>IFERROR(__xludf.DUMMYFUNCTION("""COMPUTED_VALUE"""),"DIPLOMACY ,LEADERSHIP")</f>
        <v>DIPLOMACY ,LEADERSHIP</v>
      </c>
      <c r="X49" s="61" t="str">
        <f>IFERROR(__xludf.DUMMYFUNCTION("""COMPUTED_VALUE"""),"University of Massachussets Boston")</f>
        <v>University of Massachussets Boston</v>
      </c>
      <c r="Y49" s="61" t="str">
        <f>IFERROR(__xludf.DUMMYFUNCTION("""COMPUTED_VALUE"""),"No")</f>
        <v>No</v>
      </c>
      <c r="Z49" s="61" t="str">
        <f>IFERROR(__xludf.DUMMYFUNCTION("""COMPUTED_VALUE"""),"United States")</f>
        <v>United States</v>
      </c>
      <c r="AA49" s="61" t="str">
        <f>IFERROR(__xludf.DUMMYFUNCTION("""COMPUTED_VALUE"""),"No")</f>
        <v>No</v>
      </c>
      <c r="AB49" s="61" t="str">
        <f>IFERROR(__xludf.DUMMYFUNCTION("""COMPUTED_VALUE"""),"University of Massachussets Boston")</f>
        <v>University of Massachussets Boston</v>
      </c>
      <c r="AC49" s="61" t="str">
        <f>IFERROR(__xludf.DUMMYFUNCTION("""COMPUTED_VALUE"""),"Yes")</f>
        <v>Yes</v>
      </c>
      <c r="AD49" s="61" t="str">
        <f>IFERROR(__xludf.DUMMYFUNCTION("""COMPUTED_VALUE"""),"NOo")</f>
        <v>NOo</v>
      </c>
      <c r="AE49" s="61"/>
      <c r="AF49" s="61"/>
      <c r="AG49" s="61"/>
      <c r="AH49" s="61" t="str">
        <f>IFERROR(__xludf.DUMMYFUNCTION("""COMPUTED_VALUE"""),"Yes")</f>
        <v>Yes</v>
      </c>
      <c r="AI49" s="61" t="str">
        <f>IFERROR(__xludf.DUMMYFUNCTION("""COMPUTED_VALUE"""),"Culture advosory at excutive office of USA DEPARTMENT OF JUSTICE FOR IMMIGRATION REVIEW")</f>
        <v>Culture advosory at excutive office of USA DEPARTMENT OF JUSTICE FOR IMMIGRATION REVIEW</v>
      </c>
      <c r="AJ49" s="61"/>
      <c r="AK49" s="61"/>
      <c r="AL49" s="61" t="str">
        <f>IFERROR(__xludf.DUMMYFUNCTION("""COMPUTED_VALUE"""),"Global affairs graduate ,specialist migration and intercultural communication")</f>
        <v>Global affairs graduate ,specialist migration and intercultural communication</v>
      </c>
      <c r="AM49" s="61" t="str">
        <f>IFERROR(__xludf.DUMMYFUNCTION("""COMPUTED_VALUE"""),"Aly_Savane_Resume_2025.pdf")</f>
        <v>Aly_Savane_Resume_2025.pdf</v>
      </c>
      <c r="AN49" s="61" t="str">
        <f>IFERROR(__xludf.DUMMYFUNCTION("""COMPUTED_VALUE"""),"Throughout my career as a federal immigration court interpreter, i have witnessed the life changing impact of effective communication on people seeking justice and protection .I believe that meaningful changes begins with ensuring every voice is heard reg"&amp;"ardless of race, religion an ethnicity .In my personal capacity i have dedicated my skills to facilitating fair legal proceedings ,supporting vulnerable immigrants,and promoting equal access to justice.With a degree in Global Affairs and experienced in cr"&amp;"oss-cultural communication ,I remain committed to fostering understanding,human dignity ,and inclusion while contributing to stronger institutions that serve diverse communities with fairness and respect.")</f>
        <v>Throughout my career as a federal immigration court interpreter, i have witnessed the life changing impact of effective communication on people seeking justice and protection .I believe that meaningful changes begins with ensuring every voice is heard regardless of race, religion an ethnicity .In my personal capacity i have dedicated my skills to facilitating fair legal proceedings ,supporting vulnerable immigrants,and promoting equal access to justice.With a degree in Global Affairs and experienced in cross-cultural communication ,I remain committed to fostering understanding,human dignity ,and inclusion while contributing to stronger institutions that serve diverse communities with fairness and respect.</v>
      </c>
      <c r="AO49" s="61" t="str">
        <f>IFERROR(__xludf.DUMMYFUNCTION("""COMPUTED_VALUE"""),"I think that no single country is the most diplomatically significant as global challenges requires cooperation among nations however countries like China,France,The United Kingdom , United States and regional powers contribute significantly to addressing"&amp;" issues like climate change ,conflict resolution ,trade and sustainable development.")</f>
        <v>I think that no single country is the most diplomatically significant as global challenges requires cooperation among nations however countries like China,France,The United Kingdom , United States and regional powers contribute significantly to addressing issues like climate change ,conflict resolution ,trade and sustainable development.</v>
      </c>
      <c r="AP49" s="61" t="str">
        <f>IFERROR(__xludf.DUMMYFUNCTION("""COMPUTED_VALUE"""),"Youth play a vital role when it comes to diplomacy by bringing fresh perspectives ,innovation , and strong commitment to addressing global challenges .This generation is the most connected in history ,young people can build bridges across cultures ,promot"&amp;"e dialogue, and encourage peaceful solutions to issues such as migration ,climate change and human rights
 I strongly relate to the concept of public diplomacy because my work as a federal immigration court interpreter has showing me the power of communic"&amp;"ation in building trust between people and institutions .In addition to that my degree in Global Affairs has further deepened my understanding of international relations,and conflict resolution. 
I i am persuaded that public diplomacy is not limited to di"&amp;"plomats alone.Anyone who  promotes understanding ,respect and meaningful dialogue between communities contributes to. stronger international relationships.Through my professional experience and commitment to serving diverse populations,mutual respect and "&amp;"peaceful cooperation, making a positive contribution to both  local communities and the the broader global society.")</f>
        <v>Youth play a vital role when it comes to diplomacy by bringing fresh perspectives ,innovation , and strong commitment to addressing global challenges .This generation is the most connected in history ,young people can build bridges across cultures ,promote dialogue, and encourage peaceful solutions to issues such as migration ,climate change and human rights
 I strongly relate to the concept of public diplomacy because my work as a federal immigration court interpreter has showing me the power of communication in building trust between people and institutions .In addition to that my degree in Global Affairs has further deepened my understanding of international relations,and conflict resolution. 
I i am persuaded that public diplomacy is not limited to diplomats alone.Anyone who  promotes understanding ,respect and meaningful dialogue between communities contributes to. stronger international relationships.Through my professional experience and commitment to serving diverse populations,mutual respect and peaceful cooperation, making a positive contribution to both  local communities and the the broader global society.</v>
      </c>
      <c r="AQ49" s="61" t="str">
        <f>IFERROR(__xludf.DUMMYFUNCTION("""COMPUTED_VALUE"""),"Passion is like fuel which helps you working toward your goals with full motivation and determination.It provides you with sustained energy in other word it is the intense emotional energy and profound dedication that we feel when when we are pursuing mea"&amp;"ningful goals .It serves as the immense internal motivation for personal and professional success .However passion alone is not enough without a structure which means that your inner fires must be paired with consistent  discipline and clear sense of purp"&amp;"ose .Furthermore while basic motivation comes and go the passion provides permanent  self sustained  power source allows you to endure long hours and demanding workloads without burning out.")</f>
        <v>Passion is like fuel which helps you working toward your goals with full motivation and determination.It provides you with sustained energy in other word it is the intense emotional energy and profound dedication that we feel when when we are pursuing meaningful goals .It serves as the immense internal motivation for personal and professional success .However passion alone is not enough without a structure which means that your inner fires must be paired with consistent  discipline and clear sense of purpose .Furthermore while basic motivation comes and go the passion provides permanent  self sustained  power source allows you to endure long hours and demanding workloads without burning out.</v>
      </c>
      <c r="AR49" s="61" t="str">
        <f>IFERROR(__xludf.DUMMYFUNCTION("""COMPUTED_VALUE"""),"I am and have always been a creative person therefore i am persuaded that creativity plays vital role in public diplomacy because it helps  communicate complex ideas in ways that are engaging ,relatable and culturally sensitive .I would use my creativity "&amp;"by developing multilingual communication initiatives ,storytelling campaigns ,and community outreach programs that foster mutual  understanding among people from different backgrounds . With my global affairs education i can help bridge linguistic and cul"&amp;"tural gasp while promoting  dialogue and cooperation.By using innovative communication methods and digital platforms .I hope to strengthen international partnerships, encourage cultural exchange , and build trust between communities and institutions .  I "&amp;"believe that creativity transforms diplomacy from formal negotiations into meaningful people to people connections that promote peace ,inclusion and lasting collaboration.")</f>
        <v>I am and have always been a creative person therefore i am persuaded that creativity plays vital role in public diplomacy because it helps  communicate complex ideas in ways that are engaging ,relatable and culturally sensitive .I would use my creativity by developing multilingual communication initiatives ,storytelling campaigns ,and community outreach programs that foster mutual  understanding among people from different backgrounds . With my global affairs education i can help bridge linguistic and cultural gasp while promoting  dialogue and cooperation.By using innovative communication methods and digital platforms .I hope to strengthen international partnerships, encourage cultural exchange , and build trust between communities and institutions .  I believe that creativity transforms diplomacy from formal negotiations into meaningful people to people connections that promote peace ,inclusion and lasting collaboration.</v>
      </c>
      <c r="AS49" s="61" t="str">
        <f>IFERROR(__xludf.DUMMYFUNCTION("""COMPUTED_VALUE"""),"Yes")</f>
        <v>Yes</v>
      </c>
      <c r="AT49" s="61" t="str">
        <f>IFERROR(__xludf.DUMMYFUNCTION("""COMPUTED_VALUE"""),"Yes")</f>
        <v>Yes</v>
      </c>
      <c r="AU49" s="61" t="str">
        <f>IFERROR(__xludf.DUMMYFUNCTION("""COMPUTED_VALUE"""),"Global Politics, Diplomacy &amp; Identities")</f>
        <v>Global Politics, Diplomacy &amp; Identities</v>
      </c>
      <c r="AV49" s="61" t="str">
        <f>IFERROR(__xludf.DUMMYFUNCTION("""COMPUTED_VALUE"""),"the website")</f>
        <v>the website</v>
      </c>
      <c r="AW49" s="61" t="str">
        <f>IFERROR(__xludf.DUMMYFUNCTION("""COMPUTED_VALUE"""),"Youth public diplomacy")</f>
        <v>Youth public diplomacy</v>
      </c>
      <c r="AX49" s="66" t="str">
        <f>IFERROR(__xludf.DUMMYFUNCTION("""COMPUTED_VALUE"""),"Yes")</f>
        <v>Yes</v>
      </c>
      <c r="AY49" s="66">
        <f>IFERROR(__xludf.DUMMYFUNCTION("""COMPUTED_VALUE"""),15.99)</f>
        <v>15.99</v>
      </c>
      <c r="AZ49" s="61"/>
      <c r="BA49" s="61"/>
      <c r="BB49" s="61"/>
      <c r="BC49" s="61"/>
      <c r="BD49" s="61"/>
      <c r="BE49" s="61"/>
      <c r="BF49" s="61"/>
      <c r="BG49" s="61"/>
      <c r="BH49" s="61"/>
      <c r="BI49" s="61"/>
      <c r="BJ49" s="61"/>
      <c r="BK49" s="61"/>
      <c r="BL49" s="61"/>
      <c r="BM49" s="61"/>
      <c r="BN49" s="61"/>
      <c r="BO49" s="61"/>
      <c r="BP49" s="61"/>
      <c r="BQ49" s="61"/>
      <c r="BR49" s="61"/>
    </row>
    <row r="50" ht="15.75" customHeight="1">
      <c r="A50" s="61" t="str">
        <f>IFERROR(__xludf.DUMMYFUNCTION("""COMPUTED_VALUE"""),"")</f>
        <v/>
      </c>
      <c r="B50" s="62">
        <f>IFERROR(__xludf.DUMMYFUNCTION("""COMPUTED_VALUE"""),64.0)</f>
        <v>64</v>
      </c>
      <c r="C50" s="61" t="str">
        <f>IFERROR(__xludf.DUMMYFUNCTION("""COMPUTED_VALUE"""),"Self")</f>
        <v>Self</v>
      </c>
      <c r="D50" s="63" t="str">
        <f>IFERROR(__xludf.DUMMYFUNCTION("""COMPUTED_VALUE"""),"Submitted")</f>
        <v>Submitted</v>
      </c>
      <c r="E50" s="63">
        <f>IFERROR(__xludf.DUMMYFUNCTION("""COMPUTED_VALUE"""),46196.57847222222)</f>
        <v>46196.57847</v>
      </c>
      <c r="F50" s="61" t="str">
        <f>IFERROR(__xludf.DUMMYFUNCTION("""COMPUTED_VALUE"""),"Safia Raoof")</f>
        <v>Safia Raoof</v>
      </c>
      <c r="G50" s="61" t="str">
        <f>IFERROR(__xludf.DUMMYFUNCTION("""COMPUTED_VALUE"""),"Safia Raoof")</f>
        <v>Safia Raoof</v>
      </c>
      <c r="H50" s="61" t="str">
        <f>IFERROR(__xludf.DUMMYFUNCTION("""COMPUTED_VALUE"""),"safiaraoof@outlook.com")</f>
        <v>safiaraoof@outlook.com</v>
      </c>
      <c r="I50" s="61" t="str">
        <f>IFERROR(__xludf.DUMMYFUNCTION("""COMPUTED_VALUE"""),"safia.raoof.25@gmail.com")</f>
        <v>safia.raoof.25@gmail.com</v>
      </c>
      <c r="J50" s="61" t="str">
        <f>IFERROR(__xludf.DUMMYFUNCTION("""COMPUTED_VALUE"""),"Doctor's Colony, Molvi Stop, Lal Bazar, Near J&amp;K Bank, Srinagar, India")</f>
        <v>Doctor's Colony, Molvi Stop, Lal Bazar, Near J&amp;K Bank, Srinagar, India</v>
      </c>
      <c r="K50" s="61" t="str">
        <f>IFERROR(__xludf.DUMMYFUNCTION("""COMPUTED_VALUE"""),"Indian")</f>
        <v>Indian</v>
      </c>
      <c r="L50" s="64" t="str">
        <f>IFERROR(__xludf.DUMMYFUNCTION("""COMPUTED_VALUE"""),"(+91) 9419031383")</f>
        <v>(+91) 9419031383</v>
      </c>
      <c r="M50" s="64">
        <f>IFERROR(__xludf.DUMMYFUNCTION("""COMPUTED_VALUE"""),38633.0)</f>
        <v>38633</v>
      </c>
      <c r="N50" s="61" t="str">
        <f>IFERROR(__xludf.DUMMYFUNCTION("""COMPUTED_VALUE"""),"V8695584")</f>
        <v>V8695584</v>
      </c>
      <c r="O50" s="61" t="str">
        <f>IFERROR(__xludf.DUMMYFUNCTION("""COMPUTED_VALUE"""),"(+91) 7051471971")</f>
        <v>(+91) 7051471971</v>
      </c>
      <c r="P50" s="65" t="str">
        <f>IFERROR(__xludf.DUMMYFUNCTION("""COMPUTED_VALUE"""),"https://www.linkedin.com/in/safia-r-3b745a326?utm_source=share_via&amp;utm_content=profile&amp;utm_medium=member_ios")</f>
        <v>https://www.linkedin.com/in/safia-r-3b745a326?utm_source=share_via&amp;utm_content=profile&amp;utm_medium=member_ios</v>
      </c>
      <c r="Q50" s="65" t="str">
        <f>IFERROR(__xludf.DUMMYFUNCTION("""COMPUTED_VALUE"""),"https://www.instagram.com/safiaraoof?igsh=MWc5bmV0dW44NXMxYQ%3D%3D&amp;utm_source=qr")</f>
        <v>https://www.instagram.com/safiaraoof?igsh=MWc5bmV0dW44NXMxYQ%3D%3D&amp;utm_source=qr</v>
      </c>
      <c r="R50" s="65" t="str">
        <f>IFERROR(__xludf.DUMMYFUNCTION("""COMPUTED_VALUE"""),"https://www.facebook.com/profile.php?id=100080145196615")</f>
        <v>https://www.facebook.com/profile.php?id=100080145196615</v>
      </c>
      <c r="S50" s="61" t="str">
        <f>IFERROR(__xludf.DUMMYFUNCTION("""COMPUTED_VALUE"""),"Passport Safia Raoof.pdf")</f>
        <v>Passport Safia Raoof.pdf</v>
      </c>
      <c r="T50" s="61" t="str">
        <f>IFERROR(__xludf.DUMMYFUNCTION("""COMPUTED_VALUE"""),"IMG_7066.jpg")</f>
        <v>IMG_7066.jpg</v>
      </c>
      <c r="U50" s="61" t="str">
        <f>IFERROR(__xludf.DUMMYFUNCTION("""COMPUTED_VALUE"""),"Bachelors")</f>
        <v>Bachelors</v>
      </c>
      <c r="V50" s="61" t="str">
        <f>IFERROR(__xludf.DUMMYFUNCTION("""COMPUTED_VALUE"""),"BA (Hons.)")</f>
        <v>BA (Hons.)</v>
      </c>
      <c r="W50" s="61" t="str">
        <f>IFERROR(__xludf.DUMMYFUNCTION("""COMPUTED_VALUE"""),"Journalism &amp; Mass Communication")</f>
        <v>Journalism &amp; Mass Communication</v>
      </c>
      <c r="X50" s="61" t="str">
        <f>IFERROR(__xludf.DUMMYFUNCTION("""COMPUTED_VALUE"""),"Cluster University Srinagar")</f>
        <v>Cluster University Srinagar</v>
      </c>
      <c r="Y50" s="61" t="str">
        <f>IFERROR(__xludf.DUMMYFUNCTION("""COMPUTED_VALUE"""),"Yes")</f>
        <v>Yes</v>
      </c>
      <c r="Z50" s="61" t="str">
        <f>IFERROR(__xludf.DUMMYFUNCTION("""COMPUTED_VALUE"""),"India")</f>
        <v>India</v>
      </c>
      <c r="AA50" s="61" t="str">
        <f>IFERROR(__xludf.DUMMYFUNCTION("""COMPUTED_VALUE"""),"No")</f>
        <v>No</v>
      </c>
      <c r="AB50" s="61" t="str">
        <f>IFERROR(__xludf.DUMMYFUNCTION("""COMPUTED_VALUE"""),"No")</f>
        <v>No</v>
      </c>
      <c r="AC50" s="61" t="str">
        <f>IFERROR(__xludf.DUMMYFUNCTION("""COMPUTED_VALUE"""),"No")</f>
        <v>No</v>
      </c>
      <c r="AD50" s="61" t="str">
        <f>IFERROR(__xludf.DUMMYFUNCTION("""COMPUTED_VALUE"""),"Yes, We The Change &amp; Video Volunteers")</f>
        <v>Yes, We The Change &amp; Video Volunteers</v>
      </c>
      <c r="AE50" s="65" t="str">
        <f>IFERROR(__xludf.DUMMYFUNCTION("""COMPUTED_VALUE"""),"https://linktr.ee/wethechangeind?utm_source=ig&amp;utm_medium=social&amp;utm_content=link_in_bio&amp;fbclid=PAZXh0bgNhZW0CMTEAc3J0YwZhcHBfaWQPOTM2NjE5NzQzMzkyNDU5AAGnQj4MadqWlRg7E5O4zly4WY6knd2dRjVTn4viqI7mF2W468VXTSaD4NMp-Bo_aem_78UvOM_p0tsC5QGRKOI4Lg")</f>
        <v>https://linktr.ee/wethechangeind?utm_source=ig&amp;utm_medium=social&amp;utm_content=link_in_bio&amp;fbclid=PAZXh0bgNhZW0CMTEAc3J0YwZhcHBfaWQPOTM2NjE5NzQzMzkyNDU5AAGnQj4MadqWlRg7E5O4zly4WY6knd2dRjVTn4viqI7mF2W468VXTSaD4NMp-Bo_aem_78UvOM_p0tsC5QGRKOI4Lg</v>
      </c>
      <c r="AF50" s="61" t="str">
        <f>IFERROR(__xludf.DUMMYFUNCTION("""COMPUTED_VALUE"""),"Youngest Menstrual Education")</f>
        <v>Youngest Menstrual Education</v>
      </c>
      <c r="AG50" s="61" t="str">
        <f>IFERROR(__xludf.DUMMYFUNCTION("""COMPUTED_VALUE"""),"2")</f>
        <v>2</v>
      </c>
      <c r="AH50" s="61" t="str">
        <f>IFERROR(__xludf.DUMMYFUNCTION("""COMPUTED_VALUE"""),"No")</f>
        <v>No</v>
      </c>
      <c r="AI50" s="61" t="str">
        <f>IFERROR(__xludf.DUMMYFUNCTION("""COMPUTED_VALUE"""),"I'm part-time / self-employed as a freelancer in Social Media, Content Creation &amp; Communication")</f>
        <v>I'm part-time / self-employed as a freelancer in Social Media, Content Creation &amp; Communication</v>
      </c>
      <c r="AJ50" s="61" t="str">
        <f>IFERROR(__xludf.DUMMYFUNCTION("""COMPUTED_VALUE"""),"No")</f>
        <v>No</v>
      </c>
      <c r="AK50" s="61"/>
      <c r="AL50" s="61" t="str">
        <f>IFERROR(__xludf.DUMMYFUNCTION("""COMPUTED_VALUE"""),"Content Creator, Social Media Professional, Video Editor")</f>
        <v>Content Creator, Social Media Professional, Video Editor</v>
      </c>
      <c r="AM50" s="61" t="str">
        <f>IFERROR(__xludf.DUMMYFUNCTION("""COMPUTED_VALUE"""),"Safia Raoof Resume.pdf")</f>
        <v>Safia Raoof Resume.pdf</v>
      </c>
      <c r="AN50" s="61" t="str">
        <f>IFERROR(__xludf.DUMMYFUNCTION("""COMPUTED_VALUE"""),"Yes, I have always believed that change starts with actions. Growing up in Kashmir, I witnessed uncertainty and challenges from a young age, which made me more aware of social issues and the impact that they have on local people's lives. Rather than only "&amp;"thinking about change, I tried contributing in ways that were within my reach. I have participated in discussions and debates on topics such as identity, mental well-being, and gender-related issues while also using social media as a platform to share ide"&amp;"as and encourage conversations that are meaningful. Through leadership roles in school and college, I have also worked to represent others, support and listen to the people around me, that helped me create a positive impact within my community.")</f>
        <v>Yes, I have always believed that change starts with actions. Growing up in Kashmir, I witnessed uncertainty and challenges from a young age, which made me more aware of social issues and the impact that they have on local people's lives. Rather than only thinking about change, I tried contributing in ways that were within my reach. I have participated in discussions and debates on topics such as identity, mental well-being, and gender-related issues while also using social media as a platform to share ideas and encourage conversations that are meaningful. Through leadership roles in school and college, I have also worked to represent others, support and listen to the people around me, that helped me create a positive impact within my community.</v>
      </c>
      <c r="AO50" s="61" t="str">
        <f>IFERROR(__xludf.DUMMYFUNCTION("""COMPUTED_VALUE"""),"I think China is one of the most diplomatically significant countries in the world today. Beyond being an economic power, China has progressively expanded its global influence through trade, technology, infrastructure projects, and international collabora"&amp;"tions. Its role in shaping global discussions around development, economics, and international relations has become very important. As the world continues to grow, countries are closely relating to China's policies and global involvements.")</f>
        <v>I think China is one of the most diplomatically significant countries in the world today. Beyond being an economic power, China has progressively expanded its global influence through trade, technology, infrastructure projects, and international collaborations. Its role in shaping global discussions around development, economics, and international relations has become very important. As the world continues to grow, countries are closely relating to China's policies and global involvements.</v>
      </c>
      <c r="AP50" s="61" t="str">
        <f>IFERROR(__xludf.DUMMYFUNCTION("""COMPUTED_VALUE"""),"Today's youth play an important role in diplomacy because they bring new viewpoints, innovative ideas, and the skill to connect with people across the world. Young people today are more connected than any previous generation because of technology and soci"&amp;"al media, it allows them to participate in global conversations and raise awareness about issues that affect the society. Diplomacy is no longer limited to governments and political leaders, young people can also influence change through communication, ad"&amp;"vocacy, and cultural exchange.
I personally relate strongly to the idea of public diplomacy because my journey has always involved communication and connecting with people. As a Journalism and Mass Communication student and content creator, I have spent "&amp;"years creating content that reaches different audiences and communities. Through social media, I have learnt that communication can create opinions, awareness, and motivate relevant conversations. I have also held leadership positions as Student President"&amp;" and Class Representative, where I learned the importance of listening to people and also representing their voices.")</f>
        <v>Today's youth play an important role in diplomacy because they bring new viewpoints, innovative ideas, and the skill to connect with people across the world. Young people today are more connected than any previous generation because of technology and social media, it allows them to participate in global conversations and raise awareness about issues that affect the society. Diplomacy is no longer limited to governments and political leaders, young people can also influence change through communication, advocacy, and cultural exchange.
I personally relate strongly to the idea of public diplomacy because my journey has always involved communication and connecting with people. As a Journalism and Mass Communication student and content creator, I have spent years creating content that reaches different audiences and communities. Through social media, I have learnt that communication can create opinions, awareness, and motivate relevant conversations. I have also held leadership positions as Student President and Class Representative, where I learned the importance of listening to people and also representing their voices.</v>
      </c>
      <c r="AQ50" s="61" t="str">
        <f>IFERROR(__xludf.DUMMYFUNCTION("""COMPUTED_VALUE"""),"For me, passion is something that gives me purpose and excitement to do the things that I do. It is the inner motivation that keeps a person moving forward even when difficulties and challenges arise. Content creation has always been a passion for me. I s"&amp;"tarted creating content when I was young simply because I enjoyed filming videos, taking photographs, and expressing ideas in a creative manner. Over time, this passion slowly grew into opportunities where I began freelancing and working with multiple cli"&amp;"ents. What started as something I loved eventually became a skill that contributed to my growth.
I believe passion helps people achieve their goals because it helps subconsciously with discipline, determination, and effort. When a human genuinely enjoys "&amp;"what he/she does, success is more meaningful because the journey is rewarding at the end of the day.")</f>
        <v>For me, passion is something that gives me purpose and excitement to do the things that I do. It is the inner motivation that keeps a person moving forward even when difficulties and challenges arise. Content creation has always been a passion for me. I started creating content when I was young simply because I enjoyed filming videos, taking photographs, and expressing ideas in a creative manner. Over time, this passion slowly grew into opportunities where I began freelancing and working with multiple clients. What started as something I loved eventually became a skill that contributed to my growth.
I believe passion helps people achieve their goals because it helps subconsciously with discipline, determination, and effort. When a human genuinely enjoys what he/she does, success is more meaningful because the journey is rewarding at the end of the day.</v>
      </c>
      <c r="AR50" s="61" t="str">
        <f>IFERROR(__xludf.DUMMYFUNCTION("""COMPUTED_VALUE"""),"Yes, I consider myself a creative person because creativity has always been a major part of my life. I enjoy content creation, photography, graphic designing, and finding unique and aesthetic ways to communicate ideas. I believe creativity is not only abo"&amp;"ut creating something that is visually appealing but it is also about presenting ideas and thoughts in ways that help connect with people emotionally. Creativity can become an effective public diplomacy strategy because people are more likely to engage wi"&amp;"th stories and experiences than with information alone. In today's digital world, communication through videos, social media campaigns, photography, and storytelling can help in building connections between cultures and communities.
As someone who create"&amp;"s content and manages social media, I have learnt that messages become more impactful when they are authentic and relatable. E.g., sharing stories of communities, cultures, traditions, and personal experiences help people from different backgrounds unders"&amp;"tand each other better. Creativity can reduce barriers in the field of communication, which is one of the key goals of public diplomacy.")</f>
        <v>Yes, I consider myself a creative person because creativity has always been a major part of my life. I enjoy content creation, photography, graphic designing, and finding unique and aesthetic ways to communicate ideas. I believe creativity is not only about creating something that is visually appealing but it is also about presenting ideas and thoughts in ways that help connect with people emotionally. Creativity can become an effective public diplomacy strategy because people are more likely to engage with stories and experiences than with information alone. In today's digital world, communication through videos, social media campaigns, photography, and storytelling can help in building connections between cultures and communities.
As someone who creates content and manages social media, I have learnt that messages become more impactful when they are authentic and relatable. E.g., sharing stories of communities, cultures, traditions, and personal experiences help people from different backgrounds understand each other better. Creativity can reduce barriers in the field of communication, which is one of the key goals of public diplomacy.</v>
      </c>
      <c r="AS50" s="61" t="str">
        <f>IFERROR(__xludf.DUMMYFUNCTION("""COMPUTED_VALUE"""),"Yes")</f>
        <v>Yes</v>
      </c>
      <c r="AT50" s="61" t="str">
        <f>IFERROR(__xludf.DUMMYFUNCTION("""COMPUTED_VALUE"""),"Yes")</f>
        <v>Yes</v>
      </c>
      <c r="AU50" s="61" t="str">
        <f>IFERROR(__xludf.DUMMYFUNCTION("""COMPUTED_VALUE"""),"Philosophy, Media &amp; Diplomacy in International Relations")</f>
        <v>Philosophy, Media &amp; Diplomacy in International Relations</v>
      </c>
      <c r="AV50" s="61" t="str">
        <f>IFERROR(__xludf.DUMMYFUNCTION("""COMPUTED_VALUE"""),"Opportunities Corner")</f>
        <v>Opportunities Corner</v>
      </c>
      <c r="AW50" s="61" t="str">
        <f>IFERROR(__xludf.DUMMYFUNCTION("""COMPUTED_VALUE"""),"Strategic Communication | Techniques for effective advocacy, public diplomacy, and media engagement.")</f>
        <v>Strategic Communication | Techniques for effective advocacy, public diplomacy, and media engagement.</v>
      </c>
      <c r="AX50" s="66" t="str">
        <f>IFERROR(__xludf.DUMMYFUNCTION("""COMPUTED_VALUE"""),"Yes")</f>
        <v>Yes</v>
      </c>
      <c r="AY50" s="66">
        <f>IFERROR(__xludf.DUMMYFUNCTION("""COMPUTED_VALUE"""),15.99)</f>
        <v>15.99</v>
      </c>
      <c r="AZ50" s="61"/>
      <c r="BA50" s="61"/>
      <c r="BB50" s="61"/>
      <c r="BC50" s="61"/>
      <c r="BD50" s="61"/>
      <c r="BE50" s="61"/>
      <c r="BF50" s="61"/>
      <c r="BG50" s="61"/>
      <c r="BH50" s="61"/>
      <c r="BI50" s="61"/>
      <c r="BJ50" s="61"/>
      <c r="BK50" s="61"/>
      <c r="BL50" s="61"/>
      <c r="BM50" s="61"/>
      <c r="BN50" s="61"/>
      <c r="BO50" s="61"/>
      <c r="BP50" s="61"/>
      <c r="BQ50" s="61"/>
      <c r="BR50" s="61"/>
    </row>
    <row r="51" ht="15.75" customHeight="1">
      <c r="A51" s="61" t="str">
        <f>IFERROR(__xludf.DUMMYFUNCTION("""COMPUTED_VALUE"""),"Full/Partial")</f>
        <v>Full/Partial</v>
      </c>
      <c r="B51" s="62">
        <f>IFERROR(__xludf.DUMMYFUNCTION("""COMPUTED_VALUE"""),65.0)</f>
        <v>65</v>
      </c>
      <c r="C51" s="61" t="str">
        <f>IFERROR(__xludf.DUMMYFUNCTION("""COMPUTED_VALUE"""),"Partial")</f>
        <v>Partial</v>
      </c>
      <c r="D51" s="63" t="str">
        <f>IFERROR(__xludf.DUMMYFUNCTION("""COMPUTED_VALUE"""),"Submitted")</f>
        <v>Submitted</v>
      </c>
      <c r="E51" s="63">
        <f>IFERROR(__xludf.DUMMYFUNCTION("""COMPUTED_VALUE"""),46196.95416666667)</f>
        <v>46196.95417</v>
      </c>
      <c r="F51" s="61" t="str">
        <f>IFERROR(__xludf.DUMMYFUNCTION("""COMPUTED_VALUE"""),"Fahmida Alam")</f>
        <v>Fahmida Alam</v>
      </c>
      <c r="G51" s="61" t="str">
        <f>IFERROR(__xludf.DUMMYFUNCTION("""COMPUTED_VALUE"""),"Fahmida Alam")</f>
        <v>Fahmida Alam</v>
      </c>
      <c r="H51" s="61" t="str">
        <f>IFERROR(__xludf.DUMMYFUNCTION("""COMPUTED_VALUE"""),"fahmiaprithi@gmail.com")</f>
        <v>fahmiaprithi@gmail.com</v>
      </c>
      <c r="I51" s="61" t="str">
        <f>IFERROR(__xludf.DUMMYFUNCTION("""COMPUTED_VALUE"""),"inteshar112358@gmail.com")</f>
        <v>inteshar112358@gmail.com</v>
      </c>
      <c r="J51" s="61" t="str">
        <f>IFERROR(__xludf.DUMMYFUNCTION("""COMPUTED_VALUE"""),"73/3, Malibagh first lane, Dhaka-1217, Dhaka, Bangladesh")</f>
        <v>73/3, Malibagh first lane, Dhaka-1217, Dhaka, Bangladesh</v>
      </c>
      <c r="K51" s="61" t="str">
        <f>IFERROR(__xludf.DUMMYFUNCTION("""COMPUTED_VALUE"""),"Bangladeshi")</f>
        <v>Bangladeshi</v>
      </c>
      <c r="L51" s="64" t="str">
        <f>IFERROR(__xludf.DUMMYFUNCTION("""COMPUTED_VALUE"""),"+34657337589")</f>
        <v>+34657337589</v>
      </c>
      <c r="M51" s="64">
        <f>IFERROR(__xludf.DUMMYFUNCTION("""COMPUTED_VALUE"""),36470.0)</f>
        <v>36470</v>
      </c>
      <c r="N51" s="61" t="str">
        <f>IFERROR(__xludf.DUMMYFUNCTION("""COMPUTED_VALUE"""),"A07178088")</f>
        <v>A07178088</v>
      </c>
      <c r="O51" s="61" t="str">
        <f>IFERROR(__xludf.DUMMYFUNCTION("""COMPUTED_VALUE"""),"Inteshar Alam")</f>
        <v>Inteshar Alam</v>
      </c>
      <c r="P51" s="65" t="str">
        <f>IFERROR(__xludf.DUMMYFUNCTION("""COMPUTED_VALUE"""),"https://www.linkedin.com/in/fahmida-alam-8780a31ba/")</f>
        <v>https://www.linkedin.com/in/fahmida-alam-8780a31ba/</v>
      </c>
      <c r="Q51" s="65" t="str">
        <f>IFERROR(__xludf.DUMMYFUNCTION("""COMPUTED_VALUE"""),"https://www.instagram.com/fprithi/?hl=en")</f>
        <v>https://www.instagram.com/fprithi/?hl=en</v>
      </c>
      <c r="R51" s="65" t="str">
        <f>IFERROR(__xludf.DUMMYFUNCTION("""COMPUTED_VALUE"""),"https://www.facebook.com/fahmimiaaa/")</f>
        <v>https://www.facebook.com/fahmimiaaa/</v>
      </c>
      <c r="S51" s="61" t="str">
        <f>IFERROR(__xludf.DUMMYFUNCTION("""COMPUTED_VALUE"""),"Passport (1).jpg")</f>
        <v>Passport (1).jpg</v>
      </c>
      <c r="T51" s="61" t="str">
        <f>IFERROR(__xludf.DUMMYFUNCTION("""COMPUTED_VALUE"""),"IMG_0187.jpg")</f>
        <v>IMG_0187.jpg</v>
      </c>
      <c r="U51" s="61" t="str">
        <f>IFERROR(__xludf.DUMMYFUNCTION("""COMPUTED_VALUE"""),"Master's Candidate")</f>
        <v>Master's Candidate</v>
      </c>
      <c r="V51" s="61" t="str">
        <f>IFERROR(__xludf.DUMMYFUNCTION("""COMPUTED_VALUE"""),"Erasmus Mundus Joint International Master's in Global Markets, Local Creativities (GLOCAL)")</f>
        <v>Erasmus Mundus Joint International Master's in Global Markets, Local Creativities (GLOCAL)</v>
      </c>
      <c r="W51" s="61" t="str">
        <f>IFERROR(__xludf.DUMMYFUNCTION("""COMPUTED_VALUE"""),"Global economy")</f>
        <v>Global economy</v>
      </c>
      <c r="X51" s="61" t="str">
        <f>IFERROR(__xludf.DUMMYFUNCTION("""COMPUTED_VALUE"""),"University of Glasgow - Universitat de Barcelona - University of Göttingen")</f>
        <v>University of Glasgow - Universitat de Barcelona - University of Göttingen</v>
      </c>
      <c r="Y51" s="61" t="str">
        <f>IFERROR(__xludf.DUMMYFUNCTION("""COMPUTED_VALUE"""),"Yes")</f>
        <v>Yes</v>
      </c>
      <c r="Z51" s="61" t="str">
        <f>IFERROR(__xludf.DUMMYFUNCTION("""COMPUTED_VALUE"""),"Bachelor's in Bangladesh")</f>
        <v>Bachelor's in Bangladesh</v>
      </c>
      <c r="AA51" s="61" t="str">
        <f>IFERROR(__xludf.DUMMYFUNCTION("""COMPUTED_VALUE"""),"No")</f>
        <v>No</v>
      </c>
      <c r="AB51" s="61"/>
      <c r="AC51" s="61" t="str">
        <f>IFERROR(__xludf.DUMMYFUNCTION("""COMPUTED_VALUE"""),"yes")</f>
        <v>yes</v>
      </c>
      <c r="AD51" s="61" t="str">
        <f>IFERROR(__xludf.DUMMYFUNCTION("""COMPUTED_VALUE"""),"EuroActivar - Associação de Cooperação da Lousã")</f>
        <v>EuroActivar - Associação de Cooperação da Lousã</v>
      </c>
      <c r="AE51" s="65" t="str">
        <f>IFERROR(__xludf.DUMMYFUNCTION("""COMPUTED_VALUE"""),"https://www.activar.org/")</f>
        <v>https://www.activar.org/</v>
      </c>
      <c r="AF51" s="61" t="str">
        <f>IFERROR(__xludf.DUMMYFUNCTION("""COMPUTED_VALUE"""),"Volunteer")</f>
        <v>Volunteer</v>
      </c>
      <c r="AG51" s="61" t="str">
        <f>IFERROR(__xludf.DUMMYFUNCTION("""COMPUTED_VALUE"""),"3+")</f>
        <v>3+</v>
      </c>
      <c r="AH51" s="61" t="str">
        <f>IFERROR(__xludf.DUMMYFUNCTION("""COMPUTED_VALUE"""),"No")</f>
        <v>No</v>
      </c>
      <c r="AI51" s="61"/>
      <c r="AJ51" s="61" t="str">
        <f>IFERROR(__xludf.DUMMYFUNCTION("""COMPUTED_VALUE"""),"n/a")</f>
        <v>n/a</v>
      </c>
      <c r="AK51" s="61"/>
      <c r="AL51" s="61" t="str">
        <f>IFERROR(__xludf.DUMMYFUNCTION("""COMPUTED_VALUE"""),"Fundraising, grants management")</f>
        <v>Fundraising, grants management</v>
      </c>
      <c r="AM51" s="61" t="str">
        <f>IFERROR(__xludf.DUMMYFUNCTION("""COMPUTED_VALUE"""),"FA_EURO.pdf")</f>
        <v>FA_EURO.pdf</v>
      </c>
      <c r="AN51" s="61" t="str">
        <f>IFERROR(__xludf.DUMMYFUNCTION("""COMPUTED_VALUE"""),"Yes but I realised my actions alone aren't enough and there is no right moment to do anything. At BRAC, I helped design and raise funds for programs that trained climate-vulnerable youth and women in resilient livelihoods, supported Rohingya artisans in C"&amp;"ox's Bazar and connected youth to career pathways. I wrote proposals, built partnerships and visited communities to do whatever i can from my level. Before that, as a student volunteer with LIGHT, I organized crisis-relief efforts for underserved communit"&amp;"ies in Dhaka. While 'changing the world' sounds a bit dramatic, I have learned it actually looks like well-designed programs considering sustainability and human aspect that will deliver outlasting results.")</f>
        <v>Yes but I realised my actions alone aren't enough and there is no right moment to do anything. At BRAC, I helped design and raise funds for programs that trained climate-vulnerable youth and women in resilient livelihoods, supported Rohingya artisans in Cox's Bazar and connected youth to career pathways. I wrote proposals, built partnerships and visited communities to do whatever i can from my level. Before that, as a student volunteer with LIGHT, I organized crisis-relief efforts for underserved communities in Dhaka. While 'changing the world' sounds a bit dramatic, I have learned it actually looks like well-designed programs considering sustainability and human aspect that will deliver outlasting results.</v>
      </c>
      <c r="AO51" s="61" t="str">
        <f>IFERROR(__xludf.DUMMYFUNCTION("""COMPUTED_VALUE"""),"My neighbouring country, India, has significance lying in its deliberate refusal to be defined by any single alliance. As the world's most populous democracy, a G20 host and a leading voice of the Global South, India has positioned itself as an indispensa"&amp;"ble bridge between competing world orders. Its ""Neighbourhood First"" policy, vaccine diplomacy during COVID-19 and growing role in climate finance negotiations all reflect a country actively shaping regional dynamics. For a Bangladeshi young professiona"&amp;"l, India's diplomatic choices are also deeply personal, as they affect regional trade, water security and migration. That proximity makes it impossible to study South Asian diplomacy without centering India.")</f>
        <v>My neighbouring country, India, has significance lying in its deliberate refusal to be defined by any single alliance. As the world's most populous democracy, a G20 host and a leading voice of the Global South, India has positioned itself as an indispensable bridge between competing world orders. Its "Neighbourhood First" policy, vaccine diplomacy during COVID-19 and growing role in climate finance negotiations all reflect a country actively shaping regional dynamics. For a Bangladeshi young professional, India's diplomatic choices are also deeply personal, as they affect regional trade, water security and migration. That proximity makes it impossible to study South Asian diplomacy without centering India.</v>
      </c>
      <c r="AP51" s="61" t="str">
        <f>IFERROR(__xludf.DUMMYFUNCTION("""COMPUTED_VALUE"""),"At first hearing 'Diplomacy' sounds like it's all about big institutions, ministries, embassies and others. But public diplomacy is a bit different, it's really about how a country is seen or noticed through culture, education, media, and communities. You"&amp;"ng people are right in the middle of this, their inherent flexibility allows them to respond with greater speed and agility. Young people have a natural handle on digital tools and an easy way of talking across cultures that formal diplomacy sometimes mis"&amp;"ses. They aren't here to replace the big institutions, but can definitely help make these aspects feel more real, reachable and in tune with the people they're trying to connect with.
I saw this for myself while working at BRAC and representing them at an"&amp;"y events, I discussed with donors and policymakers from all over, but the most important conversations didn't happen in the meetings. They happened informally, where we built real trust through simple, honest talk rather than following strict rules. To me"&amp;", public diplomacy is about making complicated issues feel more humane. Whether I was designing exchange programs or writing policy pieces, I was helping people see Bangladesh differently, as a place that leads the way in development innovation, not just "&amp;"a country that needs help.")</f>
        <v>At first hearing 'Diplomacy' sounds like it's all about big institutions, ministries, embassies and others. But public diplomacy is a bit different, it's really about how a country is seen or noticed through culture, education, media, and communities. Young people are right in the middle of this, their inherent flexibility allows them to respond with greater speed and agility. Young people have a natural handle on digital tools and an easy way of talking across cultures that formal diplomacy sometimes misses. They aren't here to replace the big institutions, but can definitely help make these aspects feel more real, reachable and in tune with the people they're trying to connect with.
I saw this for myself while working at BRAC and representing them at any events, I discussed with donors and policymakers from all over, but the most important conversations didn't happen in the meetings. They happened informally, where we built real trust through simple, honest talk rather than following strict rules. To me, public diplomacy is about making complicated issues feel more humane. Whether I was designing exchange programs or writing policy pieces, I was helping people see Bangladesh differently, as a place that leads the way in development innovation, not just a country that needs help.</v>
      </c>
      <c r="AQ51" s="61" t="str">
        <f>IFERROR(__xludf.DUMMYFUNCTION("""COMPUTED_VALUE"""),"A strong feeling or urge or the internal pull that makes certain work feel different from the rest. It's the genuine excitement you feel when you're doing something that actually means something to you. Without it, even important work can feel monotonous,"&amp;" a checklist rather than a calling. For me, that feeling has always been tied to people who are left out of decisions that affect them most. I was genuinely concerned and moved by the women I was writing for. From refugees to young girls who doesn't have "&amp;"the opportunities like i do, that emotional connection is what pushed me to go further, ask harder questions and not settle for a good-enough draft. And passion shouldn't be an optional thing rather a core foundational skill or quality one should possess "&amp;"if they really want to make a change.")</f>
        <v>A strong feeling or urge or the internal pull that makes certain work feel different from the rest. It's the genuine excitement you feel when you're doing something that actually means something to you. Without it, even important work can feel monotonous, a checklist rather than a calling. For me, that feeling has always been tied to people who are left out of decisions that affect them most. I was genuinely concerned and moved by the women I was writing for. From refugees to young girls who doesn't have the opportunities like i do, that emotional connection is what pushed me to go further, ask harder questions and not settle for a good-enough draft. And passion shouldn't be an optional thing rather a core foundational skill or quality one should possess if they really want to make a change.</v>
      </c>
      <c r="AR51" s="61" t="str">
        <f>IFERROR(__xludf.DUMMYFUNCTION("""COMPUTED_VALUE"""),"I think I am not creative in the traditional sense. But I certainly know the importance of creativity, I have seen its effects most clearly through travel. Moving through places, I noticed how a piece of street art, a local festival, or the way a city tel"&amp;"ls its own story through architecture shapes how outsiders feel about a place. Sometimes more powerfully than any official campaign. Creativity brings long-term effects. During my volunteering in Portugal, I designed cultural exchange sessions on Banglade"&amp;"shi heritage using games and storytelling and watched people genuinely engage with a culture they had never encountered before. That is what creative public diplomacy does. It doesn't announce itself. It just makes people feel something, curiosity, warmth"&amp;", recognition and that feeling outlasts any formal meeting or document.")</f>
        <v>I think I am not creative in the traditional sense. But I certainly know the importance of creativity, I have seen its effects most clearly through travel. Moving through places, I noticed how a piece of street art, a local festival, or the way a city tells its own story through architecture shapes how outsiders feel about a place. Sometimes more powerfully than any official campaign. Creativity brings long-term effects. During my volunteering in Portugal, I designed cultural exchange sessions on Bangladeshi heritage using games and storytelling and watched people genuinely engage with a culture they had never encountered before. That is what creative public diplomacy does. It doesn't announce itself. It just makes people feel something, curiosity, warmth, recognition and that feeling outlasts any formal meeting or document.</v>
      </c>
      <c r="AS51" s="61" t="str">
        <f>IFERROR(__xludf.DUMMYFUNCTION("""COMPUTED_VALUE"""),"No")</f>
        <v>No</v>
      </c>
      <c r="AT51" s="61" t="str">
        <f>IFERROR(__xludf.DUMMYFUNCTION("""COMPUTED_VALUE"""),"Yes")</f>
        <v>Yes</v>
      </c>
      <c r="AU51" s="61" t="str">
        <f>IFERROR(__xludf.DUMMYFUNCTION("""COMPUTED_VALUE"""),"Strategy, Peace &amp; Cultural Diplomacy")</f>
        <v>Strategy, Peace &amp; Cultural Diplomacy</v>
      </c>
      <c r="AV51" s="61" t="str">
        <f>IFERROR(__xludf.DUMMYFUNCTION("""COMPUTED_VALUE"""),"scholarship portal")</f>
        <v>scholarship portal</v>
      </c>
      <c r="AW51" s="61"/>
      <c r="AX51" s="66" t="str">
        <f>IFERROR(__xludf.DUMMYFUNCTION("""COMPUTED_VALUE"""),"Yes")</f>
        <v>Yes</v>
      </c>
      <c r="AY51" s="66">
        <f>IFERROR(__xludf.DUMMYFUNCTION("""COMPUTED_VALUE"""),15.99)</f>
        <v>15.99</v>
      </c>
      <c r="AZ51" s="61"/>
      <c r="BA51" s="61"/>
      <c r="BB51" s="61"/>
      <c r="BC51" s="61"/>
      <c r="BD51" s="61"/>
      <c r="BE51" s="61"/>
      <c r="BF51" s="61"/>
      <c r="BG51" s="61"/>
      <c r="BH51" s="61"/>
      <c r="BI51" s="61"/>
      <c r="BJ51" s="61"/>
      <c r="BK51" s="61"/>
      <c r="BL51" s="61"/>
      <c r="BM51" s="61"/>
      <c r="BN51" s="61"/>
      <c r="BO51" s="61"/>
      <c r="BP51" s="61"/>
      <c r="BQ51" s="61"/>
      <c r="BR51" s="61"/>
    </row>
    <row r="52" ht="15.75" customHeight="1">
      <c r="A52" s="61" t="str">
        <f>IFERROR(__xludf.DUMMYFUNCTION("""COMPUTED_VALUE"""),"Self")</f>
        <v>Self</v>
      </c>
      <c r="B52" s="62">
        <f>IFERROR(__xludf.DUMMYFUNCTION("""COMPUTED_VALUE"""),66.0)</f>
        <v>66</v>
      </c>
      <c r="C52" s="61" t="str">
        <f>IFERROR(__xludf.DUMMYFUNCTION("""COMPUTED_VALUE"""),"Self")</f>
        <v>Self</v>
      </c>
      <c r="D52" s="63" t="str">
        <f>IFERROR(__xludf.DUMMYFUNCTION("""COMPUTED_VALUE"""),"Submitted")</f>
        <v>Submitted</v>
      </c>
      <c r="E52" s="63">
        <f>IFERROR(__xludf.DUMMYFUNCTION("""COMPUTED_VALUE"""),46197.07847222222)</f>
        <v>46197.07847</v>
      </c>
      <c r="F52" s="61" t="str">
        <f>IFERROR(__xludf.DUMMYFUNCTION("""COMPUTED_VALUE"""),"Roza Karimboyeva")</f>
        <v>Roza Karimboyeva</v>
      </c>
      <c r="G52" s="61" t="str">
        <f>IFERROR(__xludf.DUMMYFUNCTION("""COMPUTED_VALUE"""),"Roza Karimboyeva Hamro Qizi")</f>
        <v>Roza Karimboyeva Hamro Qizi</v>
      </c>
      <c r="H52" s="61" t="str">
        <f>IFERROR(__xludf.DUMMYFUNCTION("""COMPUTED_VALUE"""),"karimboyevaroza1@gmail.com")</f>
        <v>karimboyevaroza1@gmail.com</v>
      </c>
      <c r="I52" s="61" t="str">
        <f>IFERROR(__xludf.DUMMYFUNCTION("""COMPUTED_VALUE"""),"saidbekmatkarimov870@gmail.com")</f>
        <v>saidbekmatkarimov870@gmail.com</v>
      </c>
      <c r="J52" s="61" t="str">
        <f>IFERROR(__xludf.DUMMYFUNCTION("""COMPUTED_VALUE"""),"Chilanzar district, Tashkent, Uzbekistan")</f>
        <v>Chilanzar district, Tashkent, Uzbekistan</v>
      </c>
      <c r="K52" s="61" t="str">
        <f>IFERROR(__xludf.DUMMYFUNCTION("""COMPUTED_VALUE"""),"Uzbek")</f>
        <v>Uzbek</v>
      </c>
      <c r="L52" s="64" t="str">
        <f>IFERROR(__xludf.DUMMYFUNCTION("""COMPUTED_VALUE"""),"+998909562511")</f>
        <v>+998909562511</v>
      </c>
      <c r="M52" s="64">
        <f>IFERROR(__xludf.DUMMYFUNCTION("""COMPUTED_VALUE"""),37930.0)</f>
        <v>37930</v>
      </c>
      <c r="N52" s="61" t="str">
        <f>IFERROR(__xludf.DUMMYFUNCTION("""COMPUTED_VALUE"""),"AC 2591538")</f>
        <v>AC 2591538</v>
      </c>
      <c r="O52" s="61" t="str">
        <f>IFERROR(__xludf.DUMMYFUNCTION("""COMPUTED_VALUE"""),"+998952697489")</f>
        <v>+998952697489</v>
      </c>
      <c r="P52" s="61"/>
      <c r="Q52" s="61" t="str">
        <f>IFERROR(__xludf.DUMMYFUNCTION("""COMPUTED_VALUE"""),"roza_krh")</f>
        <v>roza_krh</v>
      </c>
      <c r="R52" s="61"/>
      <c r="S52" s="61" t="str">
        <f>IFERROR(__xludf.DUMMYFUNCTION("""COMPUTED_VALUE"""),"Roza passport.pdf")</f>
        <v>Roza passport.pdf</v>
      </c>
      <c r="T52" s="61" t="str">
        <f>IFERROR(__xludf.DUMMYFUNCTION("""COMPUTED_VALUE"""),"photo_2026-06-23_11-30-35.jpg")</f>
        <v>photo_2026-06-23_11-30-35.jpg</v>
      </c>
      <c r="U52" s="61" t="str">
        <f>IFERROR(__xludf.DUMMYFUNCTION("""COMPUTED_VALUE"""),"Masters")</f>
        <v>Masters</v>
      </c>
      <c r="V52" s="61" t="str">
        <f>IFERROR(__xludf.DUMMYFUNCTION("""COMPUTED_VALUE"""),"Bachelor's degree")</f>
        <v>Bachelor's degree</v>
      </c>
      <c r="W52" s="61" t="str">
        <f>IFERROR(__xludf.DUMMYFUNCTION("""COMPUTED_VALUE"""),"MA TESOL")</f>
        <v>MA TESOL</v>
      </c>
      <c r="X52" s="61" t="str">
        <f>IFERROR(__xludf.DUMMYFUNCTION("""COMPUTED_VALUE"""),"Webster")</f>
        <v>Webster</v>
      </c>
      <c r="Y52" s="61" t="str">
        <f>IFERROR(__xludf.DUMMYFUNCTION("""COMPUTED_VALUE"""),"Yes")</f>
        <v>Yes</v>
      </c>
      <c r="Z52" s="61" t="str">
        <f>IFERROR(__xludf.DUMMYFUNCTION("""COMPUTED_VALUE"""),"Uzbekistan")</f>
        <v>Uzbekistan</v>
      </c>
      <c r="AA52" s="61" t="str">
        <f>IFERROR(__xludf.DUMMYFUNCTION("""COMPUTED_VALUE"""),"No")</f>
        <v>No</v>
      </c>
      <c r="AB52" s="61" t="str">
        <f>IFERROR(__xludf.DUMMYFUNCTION("""COMPUTED_VALUE"""),"Webster")</f>
        <v>Webster</v>
      </c>
      <c r="AC52" s="61" t="str">
        <f>IFERROR(__xludf.DUMMYFUNCTION("""COMPUTED_VALUE"""),"Yes")</f>
        <v>Yes</v>
      </c>
      <c r="AD52" s="61" t="str">
        <f>IFERROR(__xludf.DUMMYFUNCTION("""COMPUTED_VALUE"""),"No")</f>
        <v>No</v>
      </c>
      <c r="AE52" s="65" t="str">
        <f>IFERROR(__xludf.DUMMYFUNCTION("""COMPUTED_VALUE"""),"https://N/A")</f>
        <v>https://N/A</v>
      </c>
      <c r="AF52" s="61" t="str">
        <f>IFERROR(__xludf.DUMMYFUNCTION("""COMPUTED_VALUE"""),"N/A")</f>
        <v>N/A</v>
      </c>
      <c r="AG52" s="61" t="str">
        <f>IFERROR(__xludf.DUMMYFUNCTION("""COMPUTED_VALUE"""),"0")</f>
        <v>0</v>
      </c>
      <c r="AH52" s="61" t="str">
        <f>IFERROR(__xludf.DUMMYFUNCTION("""COMPUTED_VALUE"""),"No")</f>
        <v>No</v>
      </c>
      <c r="AI52" s="61" t="str">
        <f>IFERROR(__xludf.DUMMYFUNCTION("""COMPUTED_VALUE"""),"N/A")</f>
        <v>N/A</v>
      </c>
      <c r="AJ52" s="61" t="str">
        <f>IFERROR(__xludf.DUMMYFUNCTION("""COMPUTED_VALUE"""),"No")</f>
        <v>No</v>
      </c>
      <c r="AK52" s="61" t="str">
        <f>IFERROR(__xludf.DUMMYFUNCTION("""COMPUTED_VALUE"""),"N/A")</f>
        <v>N/A</v>
      </c>
      <c r="AL52" s="61" t="str">
        <f>IFERROR(__xludf.DUMMYFUNCTION("""COMPUTED_VALUE"""),"Communication skills, teamwork, leadership, time management, problem-solving, research and academic writing, Microsoft Office, and English language teaching skills")</f>
        <v>Communication skills, teamwork, leadership, time management, problem-solving, research and academic writing, Microsoft Office, and English language teaching skills</v>
      </c>
      <c r="AM52" s="61" t="str">
        <f>IFERROR(__xludf.DUMMYFUNCTION("""COMPUTED_VALUE"""),"CV Roza Karimboyeva #1.pdf")</f>
        <v>CV Roza Karimboyeva #1.pdf</v>
      </c>
      <c r="AN52" s="61" t="str">
        <f>IFERROR(__xludf.DUMMYFUNCTION("""COMPUTED_VALUE"""),"Yes, change starts small, and I believe in acting where I am. During my bachelor's degree, I organized and joined community cleanup drives (""hashar"") focused on environmental conservation in public spaces and memorial sites in my neighborhood. My team a"&amp;"nd I worked alongside local street cleaners, listening to their daily struggles and offering practical help. These conversations taught me that real change happens through direct engagement, not distant theorizing. Today, as a graduate student in educatio"&amp;"n, I continue this mindset by researching inclusive teaching methods for students from diverse cultural and linguistic backgrounds, aiming to make classrooms spaces of genuine understanding.")</f>
        <v>Yes, change starts small, and I believe in acting where I am. During my bachelor's degree, I organized and joined community cleanup drives ("hashar") focused on environmental conservation in public spaces and memorial sites in my neighborhood. My team and I worked alongside local street cleaners, listening to their daily struggles and offering practical help. These conversations taught me that real change happens through direct engagement, not distant theorizing. Today, as a graduate student in education, I continue this mindset by researching inclusive teaching methods for students from diverse cultural and linguistic backgrounds, aiming to make classrooms spaces of genuine understanding.</v>
      </c>
      <c r="AO52" s="61" t="str">
        <f>IFERROR(__xludf.DUMMYFUNCTION("""COMPUTED_VALUE"""),"Germany stands out as diplomatically significant due to its central role in the European Union, its history of post-war reconciliation diplomacy, and its consistent mediation in global economic and climate policies. Germany has transformed from a divided "&amp;"nation into a bridge-builder, balancing relationships between Western allies and emerging economies. Indonesia is equally significant, given its position as the largest economy in Southeast Asia and its leadership within ASEAN, ASEAN+ dialogues, and the G"&amp;"20. As the host of this very summit, Indonesia exemplifies how middle powers can shape regional stability and amplify youth voices in global diplomatic conversations.")</f>
        <v>Germany stands out as diplomatically significant due to its central role in the European Union, its history of post-war reconciliation diplomacy, and its consistent mediation in global economic and climate policies. Germany has transformed from a divided nation into a bridge-builder, balancing relationships between Western allies and emerging economies. Indonesia is equally significant, given its position as the largest economy in Southeast Asia and its leadership within ASEAN, ASEAN+ dialogues, and the G20. As the host of this very summit, Indonesia exemplifies how middle powers can shape regional stability and amplify youth voices in global diplomatic conversations.</v>
      </c>
      <c r="AP52" s="61" t="str">
        <f>IFERROR(__xludf.DUMMYFUNCTION("""COMPUTED_VALUE"""),"Youth bring something diplomacy desperately needs: fresh perspective unburdened by old rivalries. We are often the first to build cross-cultural friendships online, collaborate across borders in research and work, and challenge outdated assumptions about "&amp;"""the other side."" Public diplomacy, at its core, is about people building trust with people, not just governments negotiating with governments, and youth are naturally positioned to do this through everyday interactions.
I relate to this deeply through "&amp;"my academic and professional life. As someone working in education, I regularly engage with students from different countries, native languages, and cultural backgrounds. Each interaction requires me to adapt my communication style, challenge my own assum"&amp;"ptions, and find common ground, skills that are, in essence, public diplomacy in practice. I have researched and discussed extensively how to teach effectively across cultural lines, which has shown me firsthand that understanding rarely comes from formal"&amp;" agreements; it comes from sustained, respectful dialogue. I see youth diplomacy not as a future possibility but as something we are already practicing, often without naming it.")</f>
        <v>Youth bring something diplomacy desperately needs: fresh perspective unburdened by old rivalries. We are often the first to build cross-cultural friendships online, collaborate across borders in research and work, and challenge outdated assumptions about "the other side." Public diplomacy, at its core, is about people building trust with people, not just governments negotiating with governments, and youth are naturally positioned to do this through everyday interactions.
I relate to this deeply through my academic and professional life. As someone working in education, I regularly engage with students from different countries, native languages, and cultural backgrounds. Each interaction requires me to adapt my communication style, challenge my own assumptions, and find common ground, skills that are, in essence, public diplomacy in practice. I have researched and discussed extensively how to teach effectively across cultural lines, which has shown me firsthand that understanding rarely comes from formal agreements; it comes from sustained, respectful dialogue. I see youth diplomacy not as a future possibility but as something we are already practicing, often without naming it.</v>
      </c>
      <c r="AQ52" s="61" t="str">
        <f>IFERROR(__xludf.DUMMYFUNCTION("""COMPUTED_VALUE"""),"Passion, to me, is the energy that keeps you engaged with something even when no one is watching or rewarding you for it. For me, that shows up in technology and digital content creation. I enjoy using digital tools to create content, document ideas, and "&amp;"turn discussions into something tangible others can engage with. This passion has shaped how I approach my goals: I do not just want to discuss issues like cross-cultural communication or community development, I want to document and share them in ways th"&amp;"at reach people beyond a classroom or a report. Passion also drives my networking; collaborating with colleagues on different projects keeps me motivated, exposes me to new ideas, and pushes me to keep improving. Without that genuine interest, consistency"&amp;" would be impossible. With it, growth feels natural.")</f>
        <v>Passion, to me, is the energy that keeps you engaged with something even when no one is watching or rewarding you for it. For me, that shows up in technology and digital content creation. I enjoy using digital tools to create content, document ideas, and turn discussions into something tangible others can engage with. This passion has shaped how I approach my goals: I do not just want to discuss issues like cross-cultural communication or community development, I want to document and share them in ways that reach people beyond a classroom or a report. Passion also drives my networking; collaborating with colleagues on different projects keeps me motivated, exposes me to new ideas, and pushes me to keep improving. Without that genuine interest, consistency would be impossible. With it, growth feels natural.</v>
      </c>
      <c r="AR52" s="61" t="str">
        <f>IFERROR(__xludf.DUMMYFUNCTION("""COMPUTED_VALUE"""),"Yes, I consider myself creative, particularly in how I use digital tools and content creation to communicate ideas. I'm also active in sports, which has taught me the value of teamwork, discipline, and finding common ground with people from different back"&amp;"grounds, all transferable to diplomacy.
I would turn this creativity into a public diplomacy strategy by using digital content as a bridge-building tool. For instance, creating short, accessible content (videos, infographics, social posts) that breaks dow"&amp;"n complex cultural or diplomatic topics into relatable stories could help young audiences engage with global issues without feeling intimidated by formal political language. My experience researching how to teach and communicate across cultural and lingui"&amp;"stic differences also gives me practical insight into designing dialogue formats, workshops, or exchange programs that genuinely connect youth from different backgrounds rather than just placing them in a room together.
I would also use sports-based diplo"&amp;"macy: organizing informal, low-pressure sporting or networking events as a way to build trust between participants before introducing more formal diplomatic discussions, since shared activity often builds rapport faster than structured debate.")</f>
        <v>Yes, I consider myself creative, particularly in how I use digital tools and content creation to communicate ideas. I'm also active in sports, which has taught me the value of teamwork, discipline, and finding common ground with people from different backgrounds, all transferable to diplomacy.
I would turn this creativity into a public diplomacy strategy by using digital content as a bridge-building tool. For instance, creating short, accessible content (videos, infographics, social posts) that breaks down complex cultural or diplomatic topics into relatable stories could help young audiences engage with global issues without feeling intimidated by formal political language. My experience researching how to teach and communicate across cultural and linguistic differences also gives me practical insight into designing dialogue formats, workshops, or exchange programs that genuinely connect youth from different backgrounds rather than just placing them in a room together.
I would also use sports-based diplomacy: organizing informal, low-pressure sporting or networking events as a way to build trust between participants before introducing more formal diplomatic discussions, since shared activity often builds rapport faster than structured debate.</v>
      </c>
      <c r="AS52" s="61" t="str">
        <f>IFERROR(__xludf.DUMMYFUNCTION("""COMPUTED_VALUE"""),"Yes")</f>
        <v>Yes</v>
      </c>
      <c r="AT52" s="61" t="str">
        <f>IFERROR(__xludf.DUMMYFUNCTION("""COMPUTED_VALUE"""),"Yes")</f>
        <v>Yes</v>
      </c>
      <c r="AU52" s="61" t="str">
        <f>IFERROR(__xludf.DUMMYFUNCTION("""COMPUTED_VALUE"""),"Global Politics, Diplomacy &amp; Identities")</f>
        <v>Global Politics, Diplomacy &amp; Identities</v>
      </c>
      <c r="AV52" s="61" t="str">
        <f>IFERROR(__xludf.DUMMYFUNCTION("""COMPUTED_VALUE"""),"scholarship portal")</f>
        <v>scholarship portal</v>
      </c>
      <c r="AW52" s="61" t="str">
        <f>IFERROR(__xludf.DUMMYFUNCTION("""COMPUTED_VALUE"""),"Glocal Politics and International Relations")</f>
        <v>Glocal Politics and International Relations</v>
      </c>
      <c r="AX52" s="66" t="str">
        <f>IFERROR(__xludf.DUMMYFUNCTION("""COMPUTED_VALUE"""),"Yes")</f>
        <v>Yes</v>
      </c>
      <c r="AY52" s="66">
        <f>IFERROR(__xludf.DUMMYFUNCTION("""COMPUTED_VALUE"""),15.99)</f>
        <v>15.99</v>
      </c>
      <c r="AZ52" s="61"/>
      <c r="BA52" s="61"/>
      <c r="BB52" s="61"/>
      <c r="BC52" s="61"/>
      <c r="BD52" s="61"/>
      <c r="BE52" s="61"/>
      <c r="BF52" s="61"/>
      <c r="BG52" s="61"/>
      <c r="BH52" s="61"/>
      <c r="BI52" s="61"/>
      <c r="BJ52" s="61"/>
      <c r="BK52" s="61"/>
      <c r="BL52" s="61"/>
      <c r="BM52" s="61"/>
      <c r="BN52" s="61"/>
      <c r="BO52" s="61"/>
      <c r="BP52" s="61"/>
      <c r="BQ52" s="61"/>
      <c r="BR52" s="61"/>
    </row>
    <row r="53" ht="15.75" customHeight="1">
      <c r="A53" s="61" t="str">
        <f>IFERROR(__xludf.DUMMYFUNCTION("""COMPUTED_VALUE"""),"")</f>
        <v/>
      </c>
      <c r="B53" s="62">
        <f>IFERROR(__xludf.DUMMYFUNCTION("""COMPUTED_VALUE"""),67.0)</f>
        <v>67</v>
      </c>
      <c r="C53" s="61" t="str">
        <f>IFERROR(__xludf.DUMMYFUNCTION("""COMPUTED_VALUE"""),"Self")</f>
        <v>Self</v>
      </c>
      <c r="D53" s="63" t="str">
        <f>IFERROR(__xludf.DUMMYFUNCTION("""COMPUTED_VALUE"""),"Submitted")</f>
        <v>Submitted</v>
      </c>
      <c r="E53" s="63">
        <f>IFERROR(__xludf.DUMMYFUNCTION("""COMPUTED_VALUE"""),46197.37777777778)</f>
        <v>46197.37778</v>
      </c>
      <c r="F53" s="61" t="str">
        <f>IFERROR(__xludf.DUMMYFUNCTION("""COMPUTED_VALUE"""),"Sriya Bendadi")</f>
        <v>Sriya Bendadi</v>
      </c>
      <c r="G53" s="61" t="str">
        <f>IFERROR(__xludf.DUMMYFUNCTION("""COMPUTED_VALUE"""),"Sriya Bendadi")</f>
        <v>Sriya Bendadi</v>
      </c>
      <c r="H53" s="61" t="str">
        <f>IFERROR(__xludf.DUMMYFUNCTION("""COMPUTED_VALUE"""),"bensriya528@gmail.com")</f>
        <v>bensriya528@gmail.com</v>
      </c>
      <c r="I53" s="61" t="str">
        <f>IFERROR(__xludf.DUMMYFUNCTION("""COMPUTED_VALUE"""),"sriyamohanbendadi@gmail.com")</f>
        <v>sriyamohanbendadi@gmail.com</v>
      </c>
      <c r="J53" s="61" t="str">
        <f>IFERROR(__xludf.DUMMYFUNCTION("""COMPUTED_VALUE"""),"Flat B1,Sabitha Nilayam ,Near Grama Panchayat Office, Kolanukonda, Vijayawada, India")</f>
        <v>Flat B1,Sabitha Nilayam ,Near Grama Panchayat Office, Kolanukonda, Vijayawada, India</v>
      </c>
      <c r="K53" s="61" t="str">
        <f>IFERROR(__xludf.DUMMYFUNCTION("""COMPUTED_VALUE"""),"India")</f>
        <v>India</v>
      </c>
      <c r="L53" s="64" t="str">
        <f>IFERROR(__xludf.DUMMYFUNCTION("""COMPUTED_VALUE"""),"+919392781276")</f>
        <v>+919392781276</v>
      </c>
      <c r="M53" s="64">
        <f>IFERROR(__xludf.DUMMYFUNCTION("""COMPUTED_VALUE"""),37685.0)</f>
        <v>37685</v>
      </c>
      <c r="N53" s="61" t="str">
        <f>IFERROR(__xludf.DUMMYFUNCTION("""COMPUTED_VALUE"""),"Y8220132")</f>
        <v>Y8220132</v>
      </c>
      <c r="O53" s="61" t="str">
        <f>IFERROR(__xludf.DUMMYFUNCTION("""COMPUTED_VALUE"""),"9398034548")</f>
        <v>9398034548</v>
      </c>
      <c r="P53" s="61"/>
      <c r="Q53" s="61" t="str">
        <f>IFERROR(__xludf.DUMMYFUNCTION("""COMPUTED_VALUE"""),"Sriyamohan_")</f>
        <v>Sriyamohan_</v>
      </c>
      <c r="R53" s="61"/>
      <c r="S53" s="61" t="str">
        <f>IFERROR(__xludf.DUMMYFUNCTION("""COMPUTED_VALUE"""),"DocScanner 24-Dec-2024 05-18 PM.pdf")</f>
        <v>DocScanner 24-Dec-2024 05-18 PM.pdf</v>
      </c>
      <c r="T53" s="61" t="str">
        <f>IFERROR(__xludf.DUMMYFUNCTION("""COMPUTED_VALUE"""),"83DBA026-E480-4E91-AA67-091C49D088F5.jpeg")</f>
        <v>83DBA026-E480-4E91-AA67-091C49D088F5.jpeg</v>
      </c>
      <c r="U53" s="61" t="str">
        <f>IFERROR(__xludf.DUMMYFUNCTION("""COMPUTED_VALUE"""),"Masters")</f>
        <v>Masters</v>
      </c>
      <c r="V53" s="61" t="str">
        <f>IFERROR(__xludf.DUMMYFUNCTION("""COMPUTED_VALUE"""),"Masters in performing arts (Kuchipudi)")</f>
        <v>Masters in performing arts (Kuchipudi)</v>
      </c>
      <c r="W53" s="61"/>
      <c r="X53" s="61" t="str">
        <f>IFERROR(__xludf.DUMMYFUNCTION("""COMPUTED_VALUE"""),"Acharya Nagarjuna University")</f>
        <v>Acharya Nagarjuna University</v>
      </c>
      <c r="Y53" s="61" t="str">
        <f>IFERROR(__xludf.DUMMYFUNCTION("""COMPUTED_VALUE"""),"No")</f>
        <v>No</v>
      </c>
      <c r="Z53" s="61" t="str">
        <f>IFERROR(__xludf.DUMMYFUNCTION("""COMPUTED_VALUE"""),"India")</f>
        <v>India</v>
      </c>
      <c r="AA53" s="61" t="str">
        <f>IFERROR(__xludf.DUMMYFUNCTION("""COMPUTED_VALUE"""),"No")</f>
        <v>No</v>
      </c>
      <c r="AB53" s="61"/>
      <c r="AC53" s="61"/>
      <c r="AD53" s="61" t="str">
        <f>IFERROR(__xludf.DUMMYFUNCTION("""COMPUTED_VALUE"""),"Yes , MOU between Acharya Nagarjuna University and Anisha reddy organisation")</f>
        <v>Yes , MOU between Acharya Nagarjuna University and Anisha reddy organisation</v>
      </c>
      <c r="AE53" s="61"/>
      <c r="AF53" s="61"/>
      <c r="AG53" s="61"/>
      <c r="AH53" s="61" t="str">
        <f>IFERROR(__xludf.DUMMYFUNCTION("""COMPUTED_VALUE"""),"No")</f>
        <v>No</v>
      </c>
      <c r="AI53" s="61"/>
      <c r="AJ53" s="61"/>
      <c r="AK53" s="61"/>
      <c r="AL53" s="61" t="str">
        <f>IFERROR(__xludf.DUMMYFUNCTION("""COMPUTED_VALUE"""),"Professional Kuchipudi artist, Engineer,")</f>
        <v>Professional Kuchipudi artist, Engineer,</v>
      </c>
      <c r="AM53" s="61" t="str">
        <f>IFERROR(__xludf.DUMMYFUNCTION("""COMPUTED_VALUE"""),"Sriya Bendadi Profile .pdf")</f>
        <v>Sriya Bendadi Profile .pdf</v>
      </c>
      <c r="AN53" s="61" t="str">
        <f>IFERROR(__xludf.DUMMYFUNCTION("""COMPUTED_VALUE"""),"Yes, I believe meaningful change begins at the individual level. As a Kuchipudi dancer and instructor, I contribute by preserving and promoting India’s cultural heritage among younger generations. Through my dance academy, I train students not only in tec"&amp;"hnique but also in the values, history, and philosophy embedded in Indian art forms. I have participated in cultural programs, workshops, and awareness events that encourage social responsibility and environmental consciousness. I also use digital platfor"&amp;"ms to share knowledge about Indian traditions and performing arts. By educating, inspiring, and connecting people through culture, I strive to create a positive and lasting impact.")</f>
        <v>Yes, I believe meaningful change begins at the individual level. As a Kuchipudi dancer and instructor, I contribute by preserving and promoting India’s cultural heritage among younger generations. Through my dance academy, I train students not only in technique but also in the values, history, and philosophy embedded in Indian art forms. I have participated in cultural programs, workshops, and awareness events that encourage social responsibility and environmental consciousness. I also use digital platforms to share knowledge about Indian traditions and performing arts. By educating, inspiring, and connecting people through culture, I strive to create a positive and lasting impact.</v>
      </c>
      <c r="AO53" s="61" t="str">
        <f>IFERROR(__xludf.DUMMYFUNCTION("""COMPUTED_VALUE"""),"In my opinion, India is one of the most diplomatically significant countries in the world. As the world’s largest democracy, India maintains strong relations with nations across different regions and political systems. Its foreign policy emphasizes peace,"&amp;" cooperation, sustainable development, and mutual respect. Through initiatives such as the G20 Presidency, International Day of Yoga, and cultural exchanges, India promotes dialogue and global understanding. India’s strategic location, economic growth, te"&amp;"chnological advancement, and rich cultural heritage make it an important bridge between developed and developing nations. Its commitment to multilateralism strengthens its role in addressing global challenges collectively.")</f>
        <v>In my opinion, India is one of the most diplomatically significant countries in the world. As the world’s largest democracy, India maintains strong relations with nations across different regions and political systems. Its foreign policy emphasizes peace, cooperation, sustainable development, and mutual respect. Through initiatives such as the G20 Presidency, International Day of Yoga, and cultural exchanges, India promotes dialogue and global understanding. India’s strategic location, economic growth, technological advancement, and rich cultural heritage make it an important bridge between developed and developing nations. Its commitment to multilateralism strengthens its role in addressing global challenges collectively.</v>
      </c>
      <c r="AP53" s="61" t="str">
        <f>IFERROR(__xludf.DUMMYFUNCTION("""COMPUTED_VALUE"""),"Youth play a crucial role in diplomacy because they represent innovation, diversity, and the future of global cooperation. In an interconnected world, young people can build international understanding through education, cultural exchange, technology, and"&amp;" social engagement. They act as bridges between societies by promoting dialogue, tolerance, and collaborative solutions to global challenges such as climate change, inequality, and cultural misunderstanding.
I strongly relate to the concept of Public Dip"&amp;"lomacy because it focuses on connecting people beyond government institutions. As a Kuchipudi artist and educator, I have experienced how culture can transcend language and geographical barriers. Through dance performances, workshops, and cultural interac"&amp;"tions, I share India’s artistic traditions while learning about other cultures. Such exchanges foster mutual respect and appreciation among communities.
Public diplomacy is not limited to diplomats; artists, educators, researchers, and youth can all cont"&amp;"ribute to shaping a nation’s image and strengthening international relationships. My academic background in Artificial Intelligence and my involvement in performing arts allow me to combine technology and culture to reach wider audiences. I believe that c"&amp;"ultural storytelling, digital communication, and artistic collaboration are powerful tools for creating global understanding. Therefore, I see myself as an active participant in public diplomacy through cultural education, artistic expression, and intercu"&amp;"ltural engagement.")</f>
        <v>Youth play a crucial role in diplomacy because they represent innovation, diversity, and the future of global cooperation. In an interconnected world, young people can build international understanding through education, cultural exchange, technology, and social engagement. They act as bridges between societies by promoting dialogue, tolerance, and collaborative solutions to global challenges such as climate change, inequality, and cultural misunderstanding.
I strongly relate to the concept of Public Diplomacy because it focuses on connecting people beyond government institutions. As a Kuchipudi artist and educator, I have experienced how culture can transcend language and geographical barriers. Through dance performances, workshops, and cultural interactions, I share India’s artistic traditions while learning about other cultures. Such exchanges foster mutual respect and appreciation among communities.
Public diplomacy is not limited to diplomats; artists, educators, researchers, and youth can all contribute to shaping a nation’s image and strengthening international relationships. My academic background in Artificial Intelligence and my involvement in performing arts allow me to combine technology and culture to reach wider audiences. I believe that cultural storytelling, digital communication, and artistic collaboration are powerful tools for creating global understanding. Therefore, I see myself as an active participant in public diplomacy through cultural education, artistic expression, and intercultural engagement.</v>
      </c>
      <c r="AQ53" s="61" t="str">
        <f>IFERROR(__xludf.DUMMYFUNCTION("""COMPUTED_VALUE"""),"Passion is the inner drive that motivates a person to pursue a purpose with dedication and enthusiasm. It provides the energy to overcome obstacles, remain focused, and continue learning even during challenging situations. Passion transforms effort into c"&amp;"ommitment and helps individuals maintain consistency in their work.
For me, passion is reflected in my dedication to Kuchipudi dance, cultural education, and continuous learning. It has encouraged me to spend years mastering my art, teaching students, co"&amp;"nducting research, and participating in cultural programs. Passion has also motivated me to combine my academic background in technology with my interest in preserving cultural heritage.
When challenges arise, passion reminds me of the larger purpose beh"&amp;"ind my efforts. It inspires creativity, resilience, and self-discipline. As a result, I am able to set meaningful goals, remain committed to achieving them, and contribute positively to society through culture, education, and artistic excellence.")</f>
        <v>Passion is the inner drive that motivates a person to pursue a purpose with dedication and enthusiasm. It provides the energy to overcome obstacles, remain focused, and continue learning even during challenging situations. Passion transforms effort into commitment and helps individuals maintain consistency in their work.
For me, passion is reflected in my dedication to Kuchipudi dance, cultural education, and continuous learning. It has encouraged me to spend years mastering my art, teaching students, conducting research, and participating in cultural programs. Passion has also motivated me to combine my academic background in technology with my interest in preserving cultural heritage.
When challenges arise, passion reminds me of the larger purpose behind my efforts. It inspires creativity, resilience, and self-discipline. As a result, I am able to set meaningful goals, remain committed to achieving them, and contribute positively to society through culture, education, and artistic excellence.</v>
      </c>
      <c r="AR53" s="61" t="str">
        <f>IFERROR(__xludf.DUMMYFUNCTION("""COMPUTED_VALUE"""),"Yes, I consider myself a creative person because creativity is an essential part of both my artistic and academic journey. As a Kuchipudi performer, choreographer, and instructor, I constantly explore new ways to present traditional stories while preservi"&amp;"ng their authenticity. Creativity allows me to communicate ideas, emotions, and cultural values in ways that are engaging and meaningful.
Creativity can become an effective public diplomacy strategy by making cultural communication more accessible and im"&amp;"pactful. Artistic performances, digital storytelling, cultural festivals, educational workshops, and social media campaigns can help nations connect with global audiences. Creative initiatives encourage dialogue, reduce stereotypes, and build positive per"&amp;"ceptions among people from different cultural backgrounds.
In my experience, dance is a powerful diplomatic tool because it conveys universal human emotions beyond language barriers. By combining traditional art forms with modern technology and digital p"&amp;"latforms, cultural messages can reach diverse international audiences. Creative public diplomacy strengthens mutual understanding, promotes cultural exchange, and encourages collaboration among communities.
Therefore, creativity is not only an artistic s"&amp;"kill but also a strategic resource that helps build trust, foster intercultural relationships, and contribute to peaceful global engagement through culture, education, and shared human experiences.")</f>
        <v>Yes, I consider myself a creative person because creativity is an essential part of both my artistic and academic journey. As a Kuchipudi performer, choreographer, and instructor, I constantly explore new ways to present traditional stories while preserving their authenticity. Creativity allows me to communicate ideas, emotions, and cultural values in ways that are engaging and meaningful.
Creativity can become an effective public diplomacy strategy by making cultural communication more accessible and impactful. Artistic performances, digital storytelling, cultural festivals, educational workshops, and social media campaigns can help nations connect with global audiences. Creative initiatives encourage dialogue, reduce stereotypes, and build positive perceptions among people from different cultural backgrounds.
In my experience, dance is a powerful diplomatic tool because it conveys universal human emotions beyond language barriers. By combining traditional art forms with modern technology and digital platforms, cultural messages can reach diverse international audiences. Creative public diplomacy strengthens mutual understanding, promotes cultural exchange, and encourages collaboration among communities.
Therefore, creativity is not only an artistic skill but also a strategic resource that helps build trust, foster intercultural relationships, and contribute to peaceful global engagement through culture, education, and shared human experiences.</v>
      </c>
      <c r="AS53" s="61" t="str">
        <f>IFERROR(__xludf.DUMMYFUNCTION("""COMPUTED_VALUE"""),"Yes")</f>
        <v>Yes</v>
      </c>
      <c r="AT53" s="61" t="str">
        <f>IFERROR(__xludf.DUMMYFUNCTION("""COMPUTED_VALUE"""),"Yes")</f>
        <v>Yes</v>
      </c>
      <c r="AU53" s="61" t="str">
        <f>IFERROR(__xludf.DUMMYFUNCTION("""COMPUTED_VALUE"""),"Global Politics, Diplomacy &amp; Identities")</f>
        <v>Global Politics, Diplomacy &amp; Identities</v>
      </c>
      <c r="AV53" s="61" t="str">
        <f>IFERROR(__xludf.DUMMYFUNCTION("""COMPUTED_VALUE"""),"Friend")</f>
        <v>Friend</v>
      </c>
      <c r="AW53" s="61"/>
      <c r="AX53" s="66" t="str">
        <f>IFERROR(__xludf.DUMMYFUNCTION("""COMPUTED_VALUE"""),"Yes")</f>
        <v>Yes</v>
      </c>
      <c r="AY53" s="66">
        <f>IFERROR(__xludf.DUMMYFUNCTION("""COMPUTED_VALUE"""),15.99)</f>
        <v>15.99</v>
      </c>
      <c r="AZ53" s="61"/>
      <c r="BA53" s="61"/>
      <c r="BB53" s="61"/>
      <c r="BC53" s="61"/>
      <c r="BD53" s="61"/>
      <c r="BE53" s="61"/>
      <c r="BF53" s="61"/>
      <c r="BG53" s="61"/>
      <c r="BH53" s="61"/>
      <c r="BI53" s="61"/>
      <c r="BJ53" s="61"/>
      <c r="BK53" s="61"/>
      <c r="BL53" s="61"/>
      <c r="BM53" s="61"/>
      <c r="BN53" s="61"/>
      <c r="BO53" s="61"/>
      <c r="BP53" s="61"/>
      <c r="BQ53" s="61"/>
      <c r="BR53" s="61"/>
    </row>
    <row r="54" ht="15.75" customHeight="1">
      <c r="A54" s="61" t="str">
        <f>IFERROR(__xludf.DUMMYFUNCTION("""COMPUTED_VALUE"""),"")</f>
        <v/>
      </c>
      <c r="B54" s="62">
        <f>IFERROR(__xludf.DUMMYFUNCTION("""COMPUTED_VALUE"""),68.0)</f>
        <v>68</v>
      </c>
      <c r="C54" s="61" t="str">
        <f>IFERROR(__xludf.DUMMYFUNCTION("""COMPUTED_VALUE"""),"Self")</f>
        <v>Self</v>
      </c>
      <c r="D54" s="63" t="str">
        <f>IFERROR(__xludf.DUMMYFUNCTION("""COMPUTED_VALUE"""),"Submitted")</f>
        <v>Submitted</v>
      </c>
      <c r="E54" s="63">
        <f>IFERROR(__xludf.DUMMYFUNCTION("""COMPUTED_VALUE"""),46197.59583333333)</f>
        <v>46197.59583</v>
      </c>
      <c r="F54" s="61" t="str">
        <f>IFERROR(__xludf.DUMMYFUNCTION("""COMPUTED_VALUE"""),"Azizbek Tangirov")</f>
        <v>Azizbek Tangirov</v>
      </c>
      <c r="G54" s="61" t="str">
        <f>IFERROR(__xludf.DUMMYFUNCTION("""COMPUTED_VALUE"""),"Azizbek Tangirov Azadovich")</f>
        <v>Azizbek Tangirov Azadovich</v>
      </c>
      <c r="H54" s="61" t="str">
        <f>IFERROR(__xludf.DUMMYFUNCTION("""COMPUTED_VALUE"""),"alexandrepierse@gmail.com")</f>
        <v>alexandrepierse@gmail.com</v>
      </c>
      <c r="I54" s="61" t="str">
        <f>IFERROR(__xludf.DUMMYFUNCTION("""COMPUTED_VALUE"""),"atangirov99@gmail.com")</f>
        <v>atangirov99@gmail.com</v>
      </c>
      <c r="J54" s="61" t="str">
        <f>IFERROR(__xludf.DUMMYFUNCTION("""COMPUTED_VALUE"""),"flat 12, block 42, Yangi Xorazm Street, Urgench, Uzbekistan")</f>
        <v>flat 12, block 42, Yangi Xorazm Street, Urgench, Uzbekistan</v>
      </c>
      <c r="K54" s="61" t="str">
        <f>IFERROR(__xludf.DUMMYFUNCTION("""COMPUTED_VALUE"""),"Uzbek")</f>
        <v>Uzbek</v>
      </c>
      <c r="L54" s="64" t="str">
        <f>IFERROR(__xludf.DUMMYFUNCTION("""COMPUTED_VALUE"""),"+998887213377")</f>
        <v>+998887213377</v>
      </c>
      <c r="M54" s="64">
        <f>IFERROR(__xludf.DUMMYFUNCTION("""COMPUTED_VALUE"""),35752.0)</f>
        <v>35752</v>
      </c>
      <c r="N54" s="61" t="str">
        <f>IFERROR(__xludf.DUMMYFUNCTION("""COMPUTED_VALUE"""),"AD5338257")</f>
        <v>AD5338257</v>
      </c>
      <c r="O54" s="61" t="str">
        <f>IFERROR(__xludf.DUMMYFUNCTION("""COMPUTED_VALUE"""),"+998939867899")</f>
        <v>+998939867899</v>
      </c>
      <c r="P54" s="61"/>
      <c r="Q54" s="61"/>
      <c r="R54" s="61"/>
      <c r="S54" s="61" t="str">
        <f>IFERROR(__xludf.DUMMYFUNCTION("""COMPUTED_VALUE"""),"Passport for foreign visits 2.pdf")</f>
        <v>Passport for foreign visits 2.pdf</v>
      </c>
      <c r="T54" s="61" t="str">
        <f>IFERROR(__xludf.DUMMYFUNCTION("""COMPUTED_VALUE"""),"PROFILE FOTO.jpg")</f>
        <v>PROFILE FOTO.jpg</v>
      </c>
      <c r="U54" s="61" t="str">
        <f>IFERROR(__xludf.DUMMYFUNCTION("""COMPUTED_VALUE"""),"MA TESOL")</f>
        <v>MA TESOL</v>
      </c>
      <c r="V54" s="61" t="str">
        <f>IFERROR(__xludf.DUMMYFUNCTION("""COMPUTED_VALUE"""),"Master's")</f>
        <v>Master's</v>
      </c>
      <c r="W54" s="61" t="str">
        <f>IFERROR(__xludf.DUMMYFUNCTION("""COMPUTED_VALUE"""),"Teaching English for Speakers of Other Languages")</f>
        <v>Teaching English for Speakers of Other Languages</v>
      </c>
      <c r="X54" s="61" t="str">
        <f>IFERROR(__xludf.DUMMYFUNCTION("""COMPUTED_VALUE"""),"Webster University in Tashkent")</f>
        <v>Webster University in Tashkent</v>
      </c>
      <c r="Y54" s="61" t="str">
        <f>IFERROR(__xludf.DUMMYFUNCTION("""COMPUTED_VALUE"""),"Yes")</f>
        <v>Yes</v>
      </c>
      <c r="Z54" s="61" t="str">
        <f>IFERROR(__xludf.DUMMYFUNCTION("""COMPUTED_VALUE"""),"Uzbekistan")</f>
        <v>Uzbekistan</v>
      </c>
      <c r="AA54" s="61" t="str">
        <f>IFERROR(__xludf.DUMMYFUNCTION("""COMPUTED_VALUE"""),"No")</f>
        <v>No</v>
      </c>
      <c r="AB54" s="61"/>
      <c r="AC54" s="61"/>
      <c r="AD54" s="61" t="str">
        <f>IFERROR(__xludf.DUMMYFUNCTION("""COMPUTED_VALUE"""),"Youth affairs agency")</f>
        <v>Youth affairs agency</v>
      </c>
      <c r="AE54" s="65" t="str">
        <f>IFERROR(__xludf.DUMMYFUNCTION("""COMPUTED_VALUE"""),"https://gov.uz/oz/yoshlar")</f>
        <v>https://gov.uz/oz/yoshlar</v>
      </c>
      <c r="AF54" s="61" t="str">
        <f>IFERROR(__xludf.DUMMYFUNCTION("""COMPUTED_VALUE"""),"English teacher, mentor")</f>
        <v>English teacher, mentor</v>
      </c>
      <c r="AG54" s="61" t="str">
        <f>IFERROR(__xludf.DUMMYFUNCTION("""COMPUTED_VALUE"""),"3")</f>
        <v>3</v>
      </c>
      <c r="AH54" s="61" t="str">
        <f>IFERROR(__xludf.DUMMYFUNCTION("""COMPUTED_VALUE"""),"No")</f>
        <v>No</v>
      </c>
      <c r="AI54" s="61"/>
      <c r="AJ54" s="61" t="str">
        <f>IFERROR(__xludf.DUMMYFUNCTION("""COMPUTED_VALUE"""),"private online school (IELTS, TOEFL, Business English)")</f>
        <v>private online school (IELTS, TOEFL, Business English)</v>
      </c>
      <c r="AK54" s="61" t="str">
        <f>IFERROR(__xludf.DUMMYFUNCTION("""COMPUTED_VALUE"""),"It is an online school to help young people to start their own business (teaching English, starting own small business)")</f>
        <v>It is an online school to help young people to start their own business (teaching English, starting own small business)</v>
      </c>
      <c r="AL54" s="61" t="str">
        <f>IFERROR(__xludf.DUMMYFUNCTION("""COMPUTED_VALUE"""),"reporter, teacher, mentor, leader")</f>
        <v>reporter, teacher, mentor, leader</v>
      </c>
      <c r="AM54" s="61" t="str">
        <f>IFERROR(__xludf.DUMMYFUNCTION("""COMPUTED_VALUE"""),"2026 CV Tangirov A..pdf")</f>
        <v>2026 CV Tangirov A..pdf</v>
      </c>
      <c r="AN54" s="61" t="str">
        <f>IFERROR(__xludf.DUMMYFUNCTION("""COMPUTED_VALUE"""),"I am working with young graduates of universities to help find their passion and mission in life. I conduct IELTS and TOEFL preparation courses. Also I have been mentoring a lot of students to achieve their goals in their career and academic life. I also "&amp;"inspire people to live in a green world by promoting recycling all recyclable materials like, glass, metal, paper and plastic. I run instagram account and post contents on this critical topic. Also help students to stat their own small business like estab"&amp;"lishing online courses in English. I am already changing the world in my country.")</f>
        <v>I am working with young graduates of universities to help find their passion and mission in life. I conduct IELTS and TOEFL preparation courses. Also I have been mentoring a lot of students to achieve their goals in their career and academic life. I also inspire people to live in a green world by promoting recycling all recyclable materials like, glass, metal, paper and plastic. I run instagram account and post contents on this critical topic. Also help students to stat their own small business like establishing online courses in English. I am already changing the world in my country.</v>
      </c>
      <c r="AO54" s="61" t="str">
        <f>IFERROR(__xludf.DUMMYFUNCTION("""COMPUTED_VALUE"""),"There are countries which are strong because they have power of veto, military power and economic might. However, Young public diplomacy is about culture, digital influence, youth demographics, and trust-building. Honestly, Indonesia is the country which "&amp;"is trusted by the globe in terms of bridging the East and the West. This country matters for climate, AI and trade routes. It also leads the Islamic World having the biggest population consists of Muslims. Indonesia is promoting its culture, music and foo"&amp;"d and traditional customs through organic public diplomacy.")</f>
        <v>There are countries which are strong because they have power of veto, military power and economic might. However, Young public diplomacy is about culture, digital influence, youth demographics, and trust-building. Honestly, Indonesia is the country which is trusted by the globe in terms of bridging the East and the West. This country matters for climate, AI and trade routes. It also leads the Islamic World having the biggest population consists of Muslims. Indonesia is promoting its culture, music and food and traditional customs through organic public diplomacy.</v>
      </c>
      <c r="AP54" s="61" t="str">
        <f>IFERROR(__xludf.DUMMYFUNCTION("""COMPUTED_VALUE"""),"My role is to be a translator—not of languages, but of human experience. I relate to public diplomacy as everyday trust-building: through gaming, study exchanges, and social media, I have built friendships across borders without any formal training. Those"&amp;" friendships taught me that diplomacy starts when we stop seeing 'the other' and start seeing 'a friend I have not met yet.' My generation inherits a fractured world, but we also inherit the tools to mend it—digital platforms, cultural fluency, and moral "&amp;"urgency. I want this summit to sharpen those tools so I can train others in my community to become bridge-builders too. Public diplomacy is not a career for me; it is a responsibility.")</f>
        <v>My role is to be a translator—not of languages, but of human experience. I relate to public diplomacy as everyday trust-building: through gaming, study exchanges, and social media, I have built friendships across borders without any formal training. Those friendships taught me that diplomacy starts when we stop seeing 'the other' and start seeing 'a friend I have not met yet.' My generation inherits a fractured world, but we also inherit the tools to mend it—digital platforms, cultural fluency, and moral urgency. I want this summit to sharpen those tools so I can train others in my community to become bridge-builders too. Public diplomacy is not a career for me; it is a responsibility.</v>
      </c>
      <c r="AQ54" s="61" t="str">
        <f>IFERROR(__xludf.DUMMYFUNCTION("""COMPUTED_VALUE"""),"Passion is the inner fire that turns 'I should' into 'I must.' For me, it is the joy of seeing a student pass their IELTS exam, the pride of watching a young graduate launch their first online course, and the hope of seeing my Instagram followers recycle "&amp;"one more bottle. Passion helps me achieve goals by giving me resilience when I am tired, clarity when I am distracted, and magnetism when I need supporters. It has turned my daily work into a mission. I am no longer just teaching or posting—I am building "&amp;"a greener, more educated world, one person at a time.")</f>
        <v>Passion is the inner fire that turns 'I should' into 'I must.' For me, it is the joy of seeing a student pass their IELTS exam, the pride of watching a young graduate launch their first online course, and the hope of seeing my Instagram followers recycle one more bottle. Passion helps me achieve goals by giving me resilience when I am tired, clarity when I am distracted, and magnetism when I need supporters. It has turned my daily work into a mission. I am no longer just teaching or posting—I am building a greener, more educated world, one person at a time.</v>
      </c>
      <c r="AR54" s="61" t="str">
        <f>IFERROR(__xludf.DUMMYFUNCTION("""COMPUTED_VALUE"""),"Yes, I consider myself a creative person, but not in the artistic sense—my creativity lies in finding practical solutions to everyday challenges and connecting different ideas to inspire action. For example, when I teach IELTS and TOEFL, I do not just giv"&amp;"e my students boring grammar rules; instead, I create interactive games, real-life dialogues, and personalized exercises that make learning enjoyable and effective. Similarly, on my Instagram account, where I promote recycling, I avoid posting heavy stati"&amp;"stics that people might ignore; instead, I share short videos, simple infographics, and success stories that motivate my followers to recycle glass, metal, paper, and plastic in their daily lives. I believe this creative mindset can become a powerful publ"&amp;"ic diplomacy strategy because public diplomacy is ultimately about building trust and understanding between people from different countries. First, I can use storytelling to share authentic experiences of my students and recycling community, showing the w"&amp;"orld how education and environmental action are transforming lives in my country. Second, I can leverage social media to collaborate with young people globally, exchanging ideas about sustainability, language learning, and youth entrepreneurship, which na"&amp;"turally creates cross-cultural friendships. Finally, I can mentor other young graduates to start their own online courses or community projects, multiplying this positive impact. My creativity is not about being famous—it is about inspiring real change an"&amp;"d connecting people, which is exactly what effective public diplomacy requires in the 21st century.")</f>
        <v>Yes, I consider myself a creative person, but not in the artistic sense—my creativity lies in finding practical solutions to everyday challenges and connecting different ideas to inspire action. For example, when I teach IELTS and TOEFL, I do not just give my students boring grammar rules; instead, I create interactive games, real-life dialogues, and personalized exercises that make learning enjoyable and effective. Similarly, on my Instagram account, where I promote recycling, I avoid posting heavy statistics that people might ignore; instead, I share short videos, simple infographics, and success stories that motivate my followers to recycle glass, metal, paper, and plastic in their daily lives. I believe this creative mindset can become a powerful public diplomacy strategy because public diplomacy is ultimately about building trust and understanding between people from different countries. First, I can use storytelling to share authentic experiences of my students and recycling community, showing the world how education and environmental action are transforming lives in my country. Second, I can leverage social media to collaborate with young people globally, exchanging ideas about sustainability, language learning, and youth entrepreneurship, which naturally creates cross-cultural friendships. Finally, I can mentor other young graduates to start their own online courses or community projects, multiplying this positive impact. My creativity is not about being famous—it is about inspiring real change and connecting people, which is exactly what effective public diplomacy requires in the 21st century.</v>
      </c>
      <c r="AS54" s="61" t="str">
        <f>IFERROR(__xludf.DUMMYFUNCTION("""COMPUTED_VALUE"""),"Yes")</f>
        <v>Yes</v>
      </c>
      <c r="AT54" s="61" t="str">
        <f>IFERROR(__xludf.DUMMYFUNCTION("""COMPUTED_VALUE"""),"Yes")</f>
        <v>Yes</v>
      </c>
      <c r="AU54" s="61" t="str">
        <f>IFERROR(__xludf.DUMMYFUNCTION("""COMPUTED_VALUE"""),"Philosophy, Media &amp; Diplomacy in International Relations")</f>
        <v>Philosophy, Media &amp; Diplomacy in International Relations</v>
      </c>
      <c r="AV54" s="61" t="str">
        <f>IFERROR(__xludf.DUMMYFUNCTION("""COMPUTED_VALUE"""),"Scholarships channel on Telegram")</f>
        <v>Scholarships channel on Telegram</v>
      </c>
      <c r="AW54" s="61"/>
      <c r="AX54" s="66" t="str">
        <f>IFERROR(__xludf.DUMMYFUNCTION("""COMPUTED_VALUE"""),"Yes")</f>
        <v>Yes</v>
      </c>
      <c r="AY54" s="66">
        <f>IFERROR(__xludf.DUMMYFUNCTION("""COMPUTED_VALUE"""),15.99)</f>
        <v>15.99</v>
      </c>
      <c r="AZ54" s="61"/>
      <c r="BA54" s="61"/>
      <c r="BB54" s="61"/>
      <c r="BC54" s="61"/>
      <c r="BD54" s="61"/>
      <c r="BE54" s="61"/>
      <c r="BF54" s="61"/>
      <c r="BG54" s="61"/>
      <c r="BH54" s="61"/>
      <c r="BI54" s="61"/>
      <c r="BJ54" s="61"/>
      <c r="BK54" s="61"/>
      <c r="BL54" s="61"/>
      <c r="BM54" s="61"/>
      <c r="BN54" s="61"/>
      <c r="BO54" s="61"/>
      <c r="BP54" s="61"/>
      <c r="BQ54" s="61"/>
      <c r="BR54" s="61"/>
    </row>
    <row r="55" ht="15.75" customHeight="1">
      <c r="A55" s="61" t="str">
        <f>IFERROR(__xludf.DUMMYFUNCTION("""COMPUTED_VALUE"""),"Sef")</f>
        <v>Sef</v>
      </c>
      <c r="B55" s="62">
        <f>IFERROR(__xludf.DUMMYFUNCTION("""COMPUTED_VALUE"""),69.0)</f>
        <v>69</v>
      </c>
      <c r="C55" s="61" t="str">
        <f>IFERROR(__xludf.DUMMYFUNCTION("""COMPUTED_VALUE"""),"Sef")</f>
        <v>Sef</v>
      </c>
      <c r="D55" s="63" t="str">
        <f>IFERROR(__xludf.DUMMYFUNCTION("""COMPUTED_VALUE"""),"Submitted")</f>
        <v>Submitted</v>
      </c>
      <c r="E55" s="63">
        <f>IFERROR(__xludf.DUMMYFUNCTION("""COMPUTED_VALUE"""),46197.87013888889)</f>
        <v>46197.87014</v>
      </c>
      <c r="F55" s="61" t="str">
        <f>IFERROR(__xludf.DUMMYFUNCTION("""COMPUTED_VALUE"""),"ILBOUDO Dieudonne")</f>
        <v>ILBOUDO Dieudonne</v>
      </c>
      <c r="G55" s="61" t="str">
        <f>IFERROR(__xludf.DUMMYFUNCTION("""COMPUTED_VALUE"""),"ILBOUDO Dieudonne")</f>
        <v>ILBOUDO Dieudonne</v>
      </c>
      <c r="H55" s="61" t="str">
        <f>IFERROR(__xludf.DUMMYFUNCTION("""COMPUTED_VALUE"""),"ilboudodieudonne01@gmail.com")</f>
        <v>ilboudodieudonne01@gmail.com</v>
      </c>
      <c r="I55" s="61" t="str">
        <f>IFERROR(__xludf.DUMMYFUNCTION("""COMPUTED_VALUE"""),"ilboudodieudonne@dgadibf.com")</f>
        <v>ilboudodieudonne@dgadibf.com</v>
      </c>
      <c r="J55" s="61" t="str">
        <f>IFERROR(__xludf.DUMMYFUNCTION("""COMPUTED_VALUE"""),"Bonheurville, sector 31, Ouagadougou, Burkina Faso")</f>
        <v>Bonheurville, sector 31, Ouagadougou, Burkina Faso</v>
      </c>
      <c r="K55" s="61" t="str">
        <f>IFERROR(__xludf.DUMMYFUNCTION("""COMPUTED_VALUE"""),"Burkinabe")</f>
        <v>Burkinabe</v>
      </c>
      <c r="L55" s="64" t="str">
        <f>IFERROR(__xludf.DUMMYFUNCTION("""COMPUTED_VALUE"""),"+22673421475")</f>
        <v>+22673421475</v>
      </c>
      <c r="M55" s="64">
        <f>IFERROR(__xludf.DUMMYFUNCTION("""COMPUTED_VALUE"""),36586.0)</f>
        <v>36586</v>
      </c>
      <c r="N55" s="61" t="str">
        <f>IFERROR(__xludf.DUMMYFUNCTION("""COMPUTED_VALUE"""),"A3241162")</f>
        <v>A3241162</v>
      </c>
      <c r="O55" s="61" t="str">
        <f>IFERROR(__xludf.DUMMYFUNCTION("""COMPUTED_VALUE"""),"+22667625833")</f>
        <v>+22667625833</v>
      </c>
      <c r="P55" s="61" t="str">
        <f>IFERROR(__xludf.DUMMYFUNCTION("""COMPUTED_VALUE"""),"www.linkedin.com/in/dieudonné-ilboudo01")</f>
        <v>www.linkedin.com/in/dieudonné-ilboudo01</v>
      </c>
      <c r="Q55" s="61"/>
      <c r="R55" s="65" t="str">
        <f>IFERROR(__xludf.DUMMYFUNCTION("""COMPUTED_VALUE"""),"https://www.facebook.com/share/14gsZg4GXHB/?mibextid=wwXIfr")</f>
        <v>https://www.facebook.com/share/14gsZg4GXHB/?mibextid=wwXIfr</v>
      </c>
      <c r="S55" s="61" t="str">
        <f>IFERROR(__xludf.DUMMYFUNCTION("""COMPUTED_VALUE"""),"Passport.pdf")</f>
        <v>Passport.pdf</v>
      </c>
      <c r="T55" s="61" t="str">
        <f>IFERROR(__xludf.DUMMYFUNCTION("""COMPUTED_VALUE"""),"Picture.png")</f>
        <v>Picture.png</v>
      </c>
      <c r="U55" s="61" t="str">
        <f>IFERROR(__xludf.DUMMYFUNCTION("""COMPUTED_VALUE"""),"Bachelor")</f>
        <v>Bachelor</v>
      </c>
      <c r="V55" s="61" t="str">
        <f>IFERROR(__xludf.DUMMYFUNCTION("""COMPUTED_VALUE"""),"Bachelor of Technology")</f>
        <v>Bachelor of Technology</v>
      </c>
      <c r="W55" s="61" t="str">
        <f>IFERROR(__xludf.DUMMYFUNCTION("""COMPUTED_VALUE"""),"Water Resource Management")</f>
        <v>Water Resource Management</v>
      </c>
      <c r="X55" s="61" t="str">
        <f>IFERROR(__xludf.DUMMYFUNCTION("""COMPUTED_VALUE"""),"University Catholic Saint Jospeh")</f>
        <v>University Catholic Saint Jospeh</v>
      </c>
      <c r="Y55" s="61" t="str">
        <f>IFERROR(__xludf.DUMMYFUNCTION("""COMPUTED_VALUE"""),"Yes")</f>
        <v>Yes</v>
      </c>
      <c r="Z55" s="61" t="str">
        <f>IFERROR(__xludf.DUMMYFUNCTION("""COMPUTED_VALUE"""),"Burkina Faso")</f>
        <v>Burkina Faso</v>
      </c>
      <c r="AA55" s="61" t="str">
        <f>IFERROR(__xludf.DUMMYFUNCTION("""COMPUTED_VALUE"""),"Yes")</f>
        <v>Yes</v>
      </c>
      <c r="AB55" s="61" t="str">
        <f>IFERROR(__xludf.DUMMYFUNCTION("""COMPUTED_VALUE"""),"IHE DELFT Institute for Water Education, University of Lucerne")</f>
        <v>IHE DELFT Institute for Water Education, University of Lucerne</v>
      </c>
      <c r="AC55" s="61" t="str">
        <f>IFERROR(__xludf.DUMMYFUNCTION("""COMPUTED_VALUE"""),"yes")</f>
        <v>yes</v>
      </c>
      <c r="AD55" s="61" t="str">
        <f>IFERROR(__xludf.DUMMYFUNCTION("""COMPUTED_VALUE"""),"UNCCD Community of Learning and Practice")</f>
        <v>UNCCD Community of Learning and Practice</v>
      </c>
      <c r="AE55" s="65" t="str">
        <f>IFERROR(__xludf.DUMMYFUNCTION("""COMPUTED_VALUE"""),"https://droughtclp.unccd.int/co-chairs")</f>
        <v>https://droughtclp.unccd.int/co-chairs</v>
      </c>
      <c r="AF55" s="61" t="str">
        <f>IFERROR(__xludf.DUMMYFUNCTION("""COMPUTED_VALUE"""),"Co-chair")</f>
        <v>Co-chair</v>
      </c>
      <c r="AG55" s="61" t="str">
        <f>IFERROR(__xludf.DUMMYFUNCTION("""COMPUTED_VALUE"""),"2")</f>
        <v>2</v>
      </c>
      <c r="AH55" s="61" t="str">
        <f>IFERROR(__xludf.DUMMYFUNCTION("""COMPUTED_VALUE"""),"Yes")</f>
        <v>Yes</v>
      </c>
      <c r="AI55" s="61" t="str">
        <f>IFERROR(__xludf.DUMMYFUNCTION("""COMPUTED_VALUE"""),"Webinar organization, events managements, knowledge exchange, partnerships building")</f>
        <v>Webinar organization, events managements, knowledge exchange, partnerships building</v>
      </c>
      <c r="AJ55" s="61" t="str">
        <f>IFERROR(__xludf.DUMMYFUNCTION("""COMPUTED_VALUE"""),"Yes")</f>
        <v>Yes</v>
      </c>
      <c r="AK55" s="61" t="str">
        <f>IFERROR(__xludf.DUMMYFUNCTION("""COMPUTED_VALUE"""),"Alliance for Climate Innovation and Ecological Action")</f>
        <v>Alliance for Climate Innovation and Ecological Action</v>
      </c>
      <c r="AL55" s="61" t="str">
        <f>IFERROR(__xludf.DUMMYFUNCTION("""COMPUTED_VALUE"""),"Engineer, speaker, event manager, leadership, peace maker, conflict resolution")</f>
        <v>Engineer, speaker, event manager, leadership, peace maker, conflict resolution</v>
      </c>
      <c r="AM55" s="61" t="str">
        <f>IFERROR(__xludf.DUMMYFUNCTION("""COMPUTED_VALUE"""),"Resume.pdf")</f>
        <v>Resume.pdf</v>
      </c>
      <c r="AN55" s="61" t="str">
        <f>IFERROR(__xludf.DUMMYFUNCTION("""COMPUTED_VALUE"""),"Yes, I have always believed that changing the world begins with promoting peace and resolving conflicts at the local level. During my time at the Cascades Water Agency, I contributed to resolving conflicts among water users along the Comoé River, involvin"&amp;"g farmers, livestock herders, and fishermen. Through dialogue, consultation, and mediation, I helped encourage cooperation and sustainable management of shared water resources. This experience strengthened my conviction that peaceful coexistence, inclusiv"&amp;"e governance, and equitable access to natural resources are essential foundations for building a more peaceful and resilient world.")</f>
        <v>Yes, I have always believed that changing the world begins with promoting peace and resolving conflicts at the local level. During my time at the Cascades Water Agency, I contributed to resolving conflicts among water users along the Comoé River, involving farmers, livestock herders, and fishermen. Through dialogue, consultation, and mediation, I helped encourage cooperation and sustainable management of shared water resources. This experience strengthened my conviction that peaceful coexistence, inclusive governance, and equitable access to natural resources are essential foundations for building a more peaceful and resilient world.</v>
      </c>
      <c r="AO55" s="61" t="str">
        <f>IFERROR(__xludf.DUMMYFUNCTION("""COMPUTED_VALUE"""),"I consider China one of the most diplomatically significant countries in the world due to its growing influence in global affairs, international cooperation, and economic development. Through initiatives such as infrastructure partnerships, South-South co"&amp;"operation, and its active role in multilateral organizations, China has become an important actor in shaping global relations. Its diplomatic engagement with developing countries, including those in Africa, contributes to discussions on development, techn"&amp;"ology transfer, climate action, and economic partnerships. Understanding China's diplomatic approach is essential for young leaders seeking to promote international dialogue, cooperation, and shared solutions to global challenges.")</f>
        <v>I consider China one of the most diplomatically significant countries in the world due to its growing influence in global affairs, international cooperation, and economic development. Through initiatives such as infrastructure partnerships, South-South cooperation, and its active role in multilateral organizations, China has become an important actor in shaping global relations. Its diplomatic engagement with developing countries, including those in Africa, contributes to discussions on development, technology transfer, climate action, and economic partnerships. Understanding China's diplomatic approach is essential for young leaders seeking to promote international dialogue, cooperation, and shared solutions to global challenges.</v>
      </c>
      <c r="AP55" s="61" t="str">
        <f>IFERROR(__xludf.DUMMYFUNCTION("""COMPUTED_VALUE"""),"Youth plays a crucial role in diplomacy by bringing fresh perspectives, innovation, cultural understanding, and new approaches to addressing global challenges. In Africa, and particularly in Burkina Faso, young people represent a significant part of the p"&amp;"opulation and have the potential to become powerful actors in promoting peace, sustainable development, and international cooperation. Through digital platforms, social initiatives, research, and community engagement, African youth can share their realiti"&amp;"es, promote their cultures, and build bridges between communities and nations.
I relate strongly to the concept of Public Diplomacy because it recognizes that international relations are not only shaped by governments but also by citizens, communities, a"&amp;"nd young leaders. My experience in water and environmental governance has shown me the importance of dialogue and collaboration among different stakeholders. For example, while working with the Cascades Water Agency, I contributed to resolving conflicts b"&amp;"etween farmers, livestock herders, and fishermen around the Comoé River through inclusive dialogue.
For me, public diplomacy is about creating mutual understanding, strengthening trust, and using local experiences to contribute to global solutions. Youth"&amp;" can transform challenges into opportunities by becoming ambassadors of peace, cooperation, and sustainable development.")</f>
        <v>Youth plays a crucial role in diplomacy by bringing fresh perspectives, innovation, cultural understanding, and new approaches to addressing global challenges. In Africa, and particularly in Burkina Faso, young people represent a significant part of the population and have the potential to become powerful actors in promoting peace, sustainable development, and international cooperation. Through digital platforms, social initiatives, research, and community engagement, African youth can share their realities, promote their cultures, and build bridges between communities and nations.
I relate strongly to the concept of Public Diplomacy because it recognizes that international relations are not only shaped by governments but also by citizens, communities, and young leaders. My experience in water and environmental governance has shown me the importance of dialogue and collaboration among different stakeholders. For example, while working with the Cascades Water Agency, I contributed to resolving conflicts between farmers, livestock herders, and fishermen around the Comoé River through inclusive dialogue.
For me, public diplomacy is about creating mutual understanding, strengthening trust, and using local experiences to contribute to global solutions. Youth can transform challenges into opportunities by becoming ambassadors of peace, cooperation, and sustainable development.</v>
      </c>
      <c r="AQ55" s="61" t="str">
        <f>IFERROR(__xludf.DUMMYFUNCTION("""COMPUTED_VALUE"""),"Passion is that deep commitment and inner motivation that drives a person to pursue a meaningful goal with dedication, perseverance, and determination. It gives meaning to our actions and helps us overcome obstacles, even when the path is difficult.
My p"&amp;"assion lies in promoting sustainable development, protecting the environment, and fostering peaceful cooperation among communities. This passion has guided my professional journey in water and environmental management in Burkina Faso. It has encouraged me"&amp;" to seek innovative solutions, engage in dialogue with diverse stakeholders, and contribute to resolving conflicts related to natural resources.
Passion enables me to achieve my goals by giving me the energy to learn, adapt, and remain committed to creat"&amp;"ing positive change. It also inspires me to collaborate with others and transform ideas into concrete actions that benefit communities. I believe that passionate young leaders can make a significant contribution to building a more peaceful, sustainable, a"&amp;"nd inclusive world.")</f>
        <v>Passion is that deep commitment and inner motivation that drives a person to pursue a meaningful goal with dedication, perseverance, and determination. It gives meaning to our actions and helps us overcome obstacles, even when the path is difficult.
My passion lies in promoting sustainable development, protecting the environment, and fostering peaceful cooperation among communities. This passion has guided my professional journey in water and environmental management in Burkina Faso. It has encouraged me to seek innovative solutions, engage in dialogue with diverse stakeholders, and contribute to resolving conflicts related to natural resources.
Passion enables me to achieve my goals by giving me the energy to learn, adapt, and remain committed to creating positive change. It also inspires me to collaborate with others and transform ideas into concrete actions that benefit communities. I believe that passionate young leaders can make a significant contribution to building a more peaceful, sustainable, and inclusive world.</v>
      </c>
      <c r="AR55" s="61" t="str">
        <f>IFERROR(__xludf.DUMMYFUNCTION("""COMPUTED_VALUE"""),"Yes, I consider myself a creative person because I always seek innovative approaches to address complex challenges and transform ideas into practical solutions. My creativity has been recognized through my participation in international innovation initiat"&amp;"ives. I was a finalist of the UNFCCC Technology Executive Committee (TEC) AI Innovation Grand Challenge 2024, a finalist of the World Water Challenge 2024, and a winner of the UNCCD Community Learning Platform on Drought Management: Investing in Drought R"&amp;"esilience in 2025.
I believe creativity is a powerful tool for effective public diplomacy because it helps communicate ideas, build connections, and create shared solutions among diverse communities. By combining innovation, technology, and local knowled"&amp;"ge, creative approaches can strengthen dialogue between countries and promote mutual understanding.
In my work on water, climate resilience, and environmental governance in Burkina Faso, I use creativity to develop solutions that respond to real communit"&amp;"y needs while connecting local challenges with global agendas. Through storytelling, digital tools, knowledge sharing, and collaborative platforms, creative public diplomacy can inspire cooperation, enhance trust, and mobilize young people as active contr"&amp;"ibutors to global challenges such as climate change, water security, and peacebuilding.")</f>
        <v>Yes, I consider myself a creative person because I always seek innovative approaches to address complex challenges and transform ideas into practical solutions. My creativity has been recognized through my participation in international innovation initiatives. I was a finalist of the UNFCCC Technology Executive Committee (TEC) AI Innovation Grand Challenge 2024, a finalist of the World Water Challenge 2024, and a winner of the UNCCD Community Learning Platform on Drought Management: Investing in Drought Resilience in 2025.
I believe creativity is a powerful tool for effective public diplomacy because it helps communicate ideas, build connections, and create shared solutions among diverse communities. By combining innovation, technology, and local knowledge, creative approaches can strengthen dialogue between countries and promote mutual understanding.
In my work on water, climate resilience, and environmental governance in Burkina Faso, I use creativity to develop solutions that respond to real community needs while connecting local challenges with global agendas. Through storytelling, digital tools, knowledge sharing, and collaborative platforms, creative public diplomacy can inspire cooperation, enhance trust, and mobilize young people as active contributors to global challenges such as climate change, water security, and peacebuilding.</v>
      </c>
      <c r="AS55" s="61" t="str">
        <f>IFERROR(__xludf.DUMMYFUNCTION("""COMPUTED_VALUE"""),"Yes")</f>
        <v>Yes</v>
      </c>
      <c r="AT55" s="61" t="str">
        <f>IFERROR(__xludf.DUMMYFUNCTION("""COMPUTED_VALUE"""),"Yes")</f>
        <v>Yes</v>
      </c>
      <c r="AU55" s="61" t="str">
        <f>IFERROR(__xludf.DUMMYFUNCTION("""COMPUTED_VALUE"""),"Strategy, Peace &amp; Cultural Diplomacy")</f>
        <v>Strategy, Peace &amp; Cultural Diplomacy</v>
      </c>
      <c r="AV55" s="61" t="str">
        <f>IFERROR(__xludf.DUMMYFUNCTION("""COMPUTED_VALUE"""),"Social media")</f>
        <v>Social media</v>
      </c>
      <c r="AW55" s="61"/>
      <c r="AX55" s="66" t="str">
        <f>IFERROR(__xludf.DUMMYFUNCTION("""COMPUTED_VALUE"""),"Yes")</f>
        <v>Yes</v>
      </c>
      <c r="AY55" s="66">
        <f>IFERROR(__xludf.DUMMYFUNCTION("""COMPUTED_VALUE"""),15.99)</f>
        <v>15.99</v>
      </c>
      <c r="AZ55" s="61"/>
      <c r="BA55" s="61"/>
      <c r="BB55" s="61"/>
      <c r="BC55" s="61"/>
      <c r="BD55" s="61"/>
      <c r="BE55" s="61"/>
      <c r="BF55" s="61"/>
      <c r="BG55" s="61"/>
      <c r="BH55" s="61"/>
      <c r="BI55" s="61"/>
      <c r="BJ55" s="61"/>
      <c r="BK55" s="61"/>
      <c r="BL55" s="61"/>
      <c r="BM55" s="61"/>
      <c r="BN55" s="61"/>
      <c r="BO55" s="61"/>
      <c r="BP55" s="61"/>
      <c r="BQ55" s="61"/>
      <c r="BR55" s="61"/>
    </row>
    <row r="56" ht="15.75" customHeight="1">
      <c r="A56" s="61" t="str">
        <f>IFERROR(__xludf.DUMMYFUNCTION("""COMPUTED_VALUE"""),"Full/Partial")</f>
        <v>Full/Partial</v>
      </c>
      <c r="B56" s="62">
        <f>IFERROR(__xludf.DUMMYFUNCTION("""COMPUTED_VALUE"""),70.0)</f>
        <v>70</v>
      </c>
      <c r="C56" s="61" t="str">
        <f>IFERROR(__xludf.DUMMYFUNCTION("""COMPUTED_VALUE"""),"Partial")</f>
        <v>Partial</v>
      </c>
      <c r="D56" s="63" t="str">
        <f>IFERROR(__xludf.DUMMYFUNCTION("""COMPUTED_VALUE"""),"Submitted")</f>
        <v>Submitted</v>
      </c>
      <c r="E56" s="63">
        <f>IFERROR(__xludf.DUMMYFUNCTION("""COMPUTED_VALUE"""),46197.96388888889)</f>
        <v>46197.96389</v>
      </c>
      <c r="F56" s="61" t="str">
        <f>IFERROR(__xludf.DUMMYFUNCTION("""COMPUTED_VALUE"""),"Syed Tufail Shah")</f>
        <v>Syed Tufail Shah</v>
      </c>
      <c r="G56" s="61" t="str">
        <f>IFERROR(__xludf.DUMMYFUNCTION("""COMPUTED_VALUE"""),"Shah, Syed Tufail")</f>
        <v>Shah, Syed Tufail</v>
      </c>
      <c r="H56" s="61" t="str">
        <f>IFERROR(__xludf.DUMMYFUNCTION("""COMPUTED_VALUE"""),"tufailshah675@gmail.com")</f>
        <v>tufailshah675@gmail.com</v>
      </c>
      <c r="I56" s="61" t="str">
        <f>IFERROR(__xludf.DUMMYFUNCTION("""COMPUTED_VALUE"""),"awaishaider131@gmail.com")</f>
        <v>awaishaider131@gmail.com</v>
      </c>
      <c r="J56" s="61" t="str">
        <f>IFERROR(__xludf.DUMMYFUNCTION("""COMPUTED_VALUE"""),"House# 6-F, Street# 05, Sector G-6/3, Islamabad, Islamabad, Pakistan")</f>
        <v>House# 6-F, Street# 05, Sector G-6/3, Islamabad, Islamabad, Pakistan</v>
      </c>
      <c r="K56" s="61" t="str">
        <f>IFERROR(__xludf.DUMMYFUNCTION("""COMPUTED_VALUE"""),"Pakistani")</f>
        <v>Pakistani</v>
      </c>
      <c r="L56" s="64" t="str">
        <f>IFERROR(__xludf.DUMMYFUNCTION("""COMPUTED_VALUE"""),"+92 3035945686")</f>
        <v>+92 3035945686</v>
      </c>
      <c r="M56" s="64">
        <f>IFERROR(__xludf.DUMMYFUNCTION("""COMPUTED_VALUE"""),35854.0)</f>
        <v>35854</v>
      </c>
      <c r="N56" s="61" t="str">
        <f>IFERROR(__xludf.DUMMYFUNCTION("""COMPUTED_VALUE"""),"QV5158292")</f>
        <v>QV5158292</v>
      </c>
      <c r="O56" s="61" t="str">
        <f>IFERROR(__xludf.DUMMYFUNCTION("""COMPUTED_VALUE"""),"+92 3127689131")</f>
        <v>+92 3127689131</v>
      </c>
      <c r="P56" s="61"/>
      <c r="Q56" s="65" t="str">
        <f>IFERROR(__xludf.DUMMYFUNCTION("""COMPUTED_VALUE"""),"https://www.instagram.com/tufail_shah19?igsh=MTJiZ3hiMnNzOTNuZA==")</f>
        <v>https://www.instagram.com/tufail_shah19?igsh=MTJiZ3hiMnNzOTNuZA==</v>
      </c>
      <c r="R56" s="65" t="str">
        <f>IFERROR(__xludf.DUMMYFUNCTION("""COMPUTED_VALUE"""),"https://www.facebook.com/share/1952A8Kru3/")</f>
        <v>https://www.facebook.com/share/1952A8Kru3/</v>
      </c>
      <c r="S56" s="61" t="str">
        <f>IFERROR(__xludf.DUMMYFUNCTION("""COMPUTED_VALUE"""),"Passport.pdf")</f>
        <v>Passport.pdf</v>
      </c>
      <c r="T56" s="61" t="str">
        <f>IFERROR(__xludf.DUMMYFUNCTION("""COMPUTED_VALUE"""),"WhatsApp Image 2026-06-21 at 2.35.55 AM.jpeg")</f>
        <v>WhatsApp Image 2026-06-21 at 2.35.55 AM.jpeg</v>
      </c>
      <c r="U56" s="61" t="str">
        <f>IFERROR(__xludf.DUMMYFUNCTION("""COMPUTED_VALUE"""),"Bachelors")</f>
        <v>Bachelors</v>
      </c>
      <c r="V56" s="61" t="str">
        <f>IFERROR(__xludf.DUMMYFUNCTION("""COMPUTED_VALUE"""),"International Relations")</f>
        <v>International Relations</v>
      </c>
      <c r="W56" s="61" t="str">
        <f>IFERROR(__xludf.DUMMYFUNCTION("""COMPUTED_VALUE"""),"International Relations")</f>
        <v>International Relations</v>
      </c>
      <c r="X56" s="61" t="str">
        <f>IFERROR(__xludf.DUMMYFUNCTION("""COMPUTED_VALUE"""),"National University of Modern Languages Islamabad (NUML)")</f>
        <v>National University of Modern Languages Islamabad (NUML)</v>
      </c>
      <c r="Y56" s="61" t="str">
        <f>IFERROR(__xludf.DUMMYFUNCTION("""COMPUTED_VALUE"""),"No")</f>
        <v>No</v>
      </c>
      <c r="Z56" s="61" t="str">
        <f>IFERROR(__xludf.DUMMYFUNCTION("""COMPUTED_VALUE"""),"Pakistan")</f>
        <v>Pakistan</v>
      </c>
      <c r="AA56" s="61" t="str">
        <f>IFERROR(__xludf.DUMMYFUNCTION("""COMPUTED_VALUE"""),"No")</f>
        <v>No</v>
      </c>
      <c r="AB56" s="61"/>
      <c r="AC56" s="61" t="str">
        <f>IFERROR(__xludf.DUMMYFUNCTION("""COMPUTED_VALUE"""),"Yes")</f>
        <v>Yes</v>
      </c>
      <c r="AD56" s="61" t="str">
        <f>IFERROR(__xludf.DUMMYFUNCTION("""COMPUTED_VALUE"""),"Youth Diplomacy Forum")</f>
        <v>Youth Diplomacy Forum</v>
      </c>
      <c r="AE56" s="65" t="str">
        <f>IFERROR(__xludf.DUMMYFUNCTION("""COMPUTED_VALUE"""),"https://youthdiplomacyforum.com/")</f>
        <v>https://youthdiplomacyforum.com/</v>
      </c>
      <c r="AF56" s="61" t="str">
        <f>IFERROR(__xludf.DUMMYFUNCTION("""COMPUTED_VALUE"""),"Member")</f>
        <v>Member</v>
      </c>
      <c r="AG56" s="61" t="str">
        <f>IFERROR(__xludf.DUMMYFUNCTION("""COMPUTED_VALUE"""),"2+")</f>
        <v>2+</v>
      </c>
      <c r="AH56" s="61" t="str">
        <f>IFERROR(__xludf.DUMMYFUNCTION("""COMPUTED_VALUE"""),"Yes")</f>
        <v>Yes</v>
      </c>
      <c r="AI56" s="61" t="str">
        <f>IFERROR(__xludf.DUMMYFUNCTION("""COMPUTED_VALUE"""),"Yes. I am currently employed full-time at the Senate of Pakistan as a Personal Secretary to a Senator. In this role, I support parliamentary affairs, policy research, stakeholder coordination, committee operations, and official communications. My work inv"&amp;"olves close engagement with parliamentarians, government officials, and national and international stakeholders on matters related to governance, public policy, and parliamentary diplomacy.")</f>
        <v>Yes. I am currently employed full-time at the Senate of Pakistan as a Personal Secretary to a Senator. In this role, I support parliamentary affairs, policy research, stakeholder coordination, committee operations, and official communications. My work involves close engagement with parliamentarians, government officials, and national and international stakeholders on matters related to governance, public policy, and parliamentary diplomacy.</v>
      </c>
      <c r="AJ56" s="61" t="str">
        <f>IFERROR(__xludf.DUMMYFUNCTION("""COMPUTED_VALUE"""),"No, I have not founded a youth organization. However, I am an active member of the Youth Diplomacy Forum, where I contribute to organizing seminars, conferences, and initiatives focused on diplomacy, public policy, and youth engagement.")</f>
        <v>No, I have not founded a youth organization. However, I am an active member of the Youth Diplomacy Forum, where I contribute to organizing seminars, conferences, and initiatives focused on diplomacy, public policy, and youth engagement.</v>
      </c>
      <c r="AK56" s="61"/>
      <c r="AL56" s="61" t="str">
        <f>IFERROR(__xludf.DUMMYFUNCTION("""COMPUTED_VALUE"""),"My core skillset includes policy research and analysis, public diplomacy, stakeholder engagement, parliamentary affairs, leadership, strategic communication, public speaking, and cross-cultural collaboration. Through my work at the Senate of Pakistan and "&amp;"my academic background in International Relations, I have developed strong abilities in governance, negotiation, coordination, report writing, and evidence-based policymaking. I am also experienced in organizing events, managing diverse stakeholders, and "&amp;"working effectively in multicultural environments.")</f>
        <v>My core skillset includes policy research and analysis, public diplomacy, stakeholder engagement, parliamentary affairs, leadership, strategic communication, public speaking, and cross-cultural collaboration. Through my work at the Senate of Pakistan and my academic background in International Relations, I have developed strong abilities in governance, negotiation, coordination, report writing, and evidence-based policymaking. I am also experienced in organizing events, managing diverse stakeholders, and working effectively in multicultural environments.</v>
      </c>
      <c r="AM56" s="61" t="str">
        <f>IFERROR(__xludf.DUMMYFUNCTION("""COMPUTED_VALUE"""),"Syed_Tufail_Shah_CV.pdf.pdf")</f>
        <v>Syed_Tufail_Shah_CV.pdf.pdf</v>
      </c>
      <c r="AN56" s="61" t="str">
        <f>IFERROR(__xludf.DUMMYFUNCTION("""COMPUTED_VALUE"""),"Yes. I believe meaningful change begins with small but consistent actions. Through my involvement with the Youth Diplomacy Forum, I have contributed to organizing seminars, conferences, and awareness initiatives that promote diplomacy, public policy, and "&amp;"youth engagement. I have also participated in community and environmental advocacy activities through WWF-Pakistan and other volunteer efforts. Professionally, my work at the Senate of Pakistan allows me to support evidence-based policymaking and construc"&amp;"tive dialogue among stakeholders. These experiences have strengthened my belief that empowering young people, encouraging informed discussions, and supporting effective governance can create lasting positive change.")</f>
        <v>Yes. I believe meaningful change begins with small but consistent actions. Through my involvement with the Youth Diplomacy Forum, I have contributed to organizing seminars, conferences, and awareness initiatives that promote diplomacy, public policy, and youth engagement. I have also participated in community and environmental advocacy activities through WWF-Pakistan and other volunteer efforts. Professionally, my work at the Senate of Pakistan allows me to support evidence-based policymaking and constructive dialogue among stakeholders. These experiences have strengthened my belief that empowering young people, encouraging informed discussions, and supporting effective governance can create lasting positive change.</v>
      </c>
      <c r="AO56" s="61" t="str">
        <f>IFERROR(__xludf.DUMMYFUNCTION("""COMPUTED_VALUE"""),"In my view, the United States remains one of the most diplomatically significant countries in the world. Its influence extends across international politics, global security, trade, development, and multilateral institutions. As a permanent member of the "&amp;"United Nations Security Council and a key actor in organizations such as NATO, the United States plays a central role in shaping international responses to global challenges. Its diplomatic engagement affects issues ranging from conflict resolution and cl"&amp;"imate action to economic cooperation. While diplomacy today is increasingly multipolar, the United States continues to be a major force in fostering dialogue, partnerships, and international decision-making.")</f>
        <v>In my view, the United States remains one of the most diplomatically significant countries in the world. Its influence extends across international politics, global security, trade, development, and multilateral institutions. As a permanent member of the United Nations Security Council and a key actor in organizations such as NATO, the United States plays a central role in shaping international responses to global challenges. Its diplomatic engagement affects issues ranging from conflict resolution and climate action to economic cooperation. While diplomacy today is increasingly multipolar, the United States continues to be a major force in fostering dialogue, partnerships, and international decision-making.</v>
      </c>
      <c r="AP56" s="61" t="str">
        <f>IFERROR(__xludf.DUMMYFUNCTION("""COMPUTED_VALUE"""),"Youth play a vital role in diplomacy by fostering dialogue, promoting mutual understanding, and contributing innovative perspectives to global challenges. In an increasingly interconnected world, young people are not only future leaders but also active st"&amp;"akeholders who can build bridges across cultures, communities, and nations. Through education, advocacy, digital engagement, and people-to-people interactions, youth can strengthen international cooperation and promote peaceful coexistence.
I strongly re"&amp;"late to the idea of public diplomacy because it emphasizes communication, trust-building, and engagement between people beyond formal state-to-state relations. My academic background in International Relations introduced me to the principles of diplomacy "&amp;"and international cooperation, while my professional experience at the Senate of Pakistan allowed me to observe how dialogue, negotiation, and stakeholder engagement influence policymaking and governance. Additionally, my involvement with the Youth Diplom"&amp;"acy Forum has enabled me to contribute to initiatives that encourage policy discussions and youth participation.
For me, public diplomacy is about creating understanding between societies and encouraging constructive engagement. I believe young people ha"&amp;"ve a unique ability to connect diverse perspectives, challenge stereotypes, and contribute positively to global conversations. By empowering youth voices, diplomacy becomes more inclusive, innovative, and effective in addressing contemporary challenges.")</f>
        <v>Youth play a vital role in diplomacy by fostering dialogue, promoting mutual understanding, and contributing innovative perspectives to global challenges. In an increasingly interconnected world, young people are not only future leaders but also active stakeholders who can build bridges across cultures, communities, and nations. Through education, advocacy, digital engagement, and people-to-people interactions, youth can strengthen international cooperation and promote peaceful coexistence.
I strongly relate to the idea of public diplomacy because it emphasizes communication, trust-building, and engagement between people beyond formal state-to-state relations. My academic background in International Relations introduced me to the principles of diplomacy and international cooperation, while my professional experience at the Senate of Pakistan allowed me to observe how dialogue, negotiation, and stakeholder engagement influence policymaking and governance. Additionally, my involvement with the Youth Diplomacy Forum has enabled me to contribute to initiatives that encourage policy discussions and youth participation.
For me, public diplomacy is about creating understanding between societies and encouraging constructive engagement. I believe young people have a unique ability to connect diverse perspectives, challenge stereotypes, and contribute positively to global conversations. By empowering youth voices, diplomacy becomes more inclusive, innovative, and effective in addressing contemporary challenges.</v>
      </c>
      <c r="AQ56" s="61" t="str">
        <f>IFERROR(__xludf.DUMMYFUNCTION("""COMPUTED_VALUE"""),"Passion is the inner drive that motivates a person to pursue a purpose with commitment, resilience, and enthusiasm. It is what keeps individuals focused on their goals despite challenges and inspires continuous growth and learning.
My passion lies in dip"&amp;"lomacy, governance, and public service. This passion led me to study International Relations and later pursue a career at the Senate of Pakistan, where I gained firsthand exposure to policymaking, parliamentary affairs, and stakeholder engagement. It moti"&amp;"vates me to seek opportunities that broaden my understanding of global issues and strengthen my ability to contribute positively to society.
Passion helps me achieve my goals by giving me the determination to learn, adapt, and remain committed to my aspi"&amp;"rations. It is also the reason I am applying to the Young Public Diplomacy Summit. I believe the summit will provide valuable insights, international perspectives, and meaningful connections that will help me grow as a future leader and contribute more ef"&amp;"fectively to diplomacy and international cooperation.")</f>
        <v>Passion is the inner drive that motivates a person to pursue a purpose with commitment, resilience, and enthusiasm. It is what keeps individuals focused on their goals despite challenges and inspires continuous growth and learning.
My passion lies in diplomacy, governance, and public service. This passion led me to study International Relations and later pursue a career at the Senate of Pakistan, where I gained firsthand exposure to policymaking, parliamentary affairs, and stakeholder engagement. It motivates me to seek opportunities that broaden my understanding of global issues and strengthen my ability to contribute positively to society.
Passion helps me achieve my goals by giving me the determination to learn, adapt, and remain committed to my aspirations. It is also the reason I am applying to the Young Public Diplomacy Summit. I believe the summit will provide valuable insights, international perspectives, and meaningful connections that will help me grow as a future leader and contribute more effectively to diplomacy and international cooperation.</v>
      </c>
      <c r="AR56" s="61" t="str">
        <f>IFERROR(__xludf.DUMMYFUNCTION("""COMPUTED_VALUE"""),"If diplomacy is the art of building bridges, creativity is what helps us design them in ways that people are willing to cross.
Yes, I consider myself a creative person. For me, creativity is not limited to art or design; it is the ability to communicate "&amp;"ideas effectively, solve problems from new perspectives, and connect with diverse audiences. Whether organizing youth-focused events through the Youth Diplomacy Forum, contributing to public awareness initiatives, or supporting stakeholder engagement in m"&amp;"y work at the Senate of Pakistan, I have learned that innovative communication often creates the strongest impact.
I believe creativity can be transformed into an effective public diplomacy strategy by making international engagement more relatable and i"&amp;"nclusive. Instead of relying solely on official channels, diplomacy can use storytelling, digital campaigns, cultural exchanges, youth-led dialogues, and social media platforms to connect people across borders. Such approaches help humanize international "&amp;"relations and encourage mutual understanding.
My academic background in International Relations and professional exposure to parliamentary affairs have shown me that successful diplomacy depends not only on policies but also on how those policies are com"&amp;"municated. By combining creativity with dialogue and collaboration, public diplomacy can build trust, strengthen international partnerships, and inspire meaningful cooperation among societies.")</f>
        <v>If diplomacy is the art of building bridges, creativity is what helps us design them in ways that people are willing to cross.
Yes, I consider myself a creative person. For me, creativity is not limited to art or design; it is the ability to communicate ideas effectively, solve problems from new perspectives, and connect with diverse audiences. Whether organizing youth-focused events through the Youth Diplomacy Forum, contributing to public awareness initiatives, or supporting stakeholder engagement in my work at the Senate of Pakistan, I have learned that innovative communication often creates the strongest impact.
I believe creativity can be transformed into an effective public diplomacy strategy by making international engagement more relatable and inclusive. Instead of relying solely on official channels, diplomacy can use storytelling, digital campaigns, cultural exchanges, youth-led dialogues, and social media platforms to connect people across borders. Such approaches help humanize international relations and encourage mutual understanding.
My academic background in International Relations and professional exposure to parliamentary affairs have shown me that successful diplomacy depends not only on policies but also on how those policies are communicated. By combining creativity with dialogue and collaboration, public diplomacy can build trust, strengthen international partnerships, and inspire meaningful cooperation among societies.</v>
      </c>
      <c r="AS56" s="61" t="str">
        <f>IFERROR(__xludf.DUMMYFUNCTION("""COMPUTED_VALUE"""),"Yes")</f>
        <v>Yes</v>
      </c>
      <c r="AT56" s="61" t="str">
        <f>IFERROR(__xludf.DUMMYFUNCTION("""COMPUTED_VALUE"""),"Yes")</f>
        <v>Yes</v>
      </c>
      <c r="AU56" s="61" t="str">
        <f>IFERROR(__xludf.DUMMYFUNCTION("""COMPUTED_VALUE"""),"Global Politics, Diplomacy &amp; Identities")</f>
        <v>Global Politics, Diplomacy &amp; Identities</v>
      </c>
      <c r="AV56" s="61" t="str">
        <f>IFERROR(__xludf.DUMMYFUNCTION("""COMPUTED_VALUE"""),"Scholarship portal and social media too")</f>
        <v>Scholarship portal and social media too</v>
      </c>
      <c r="AW56" s="61" t="str">
        <f>IFERROR(__xludf.DUMMYFUNCTION("""COMPUTED_VALUE"""),"Public Diplomacy in the 21st Century")</f>
        <v>Public Diplomacy in the 21st Century</v>
      </c>
      <c r="AX56" s="66" t="str">
        <f>IFERROR(__xludf.DUMMYFUNCTION("""COMPUTED_VALUE"""),"Yes")</f>
        <v>Yes</v>
      </c>
      <c r="AY56" s="66">
        <f>IFERROR(__xludf.DUMMYFUNCTION("""COMPUTED_VALUE"""),15.99)</f>
        <v>15.99</v>
      </c>
      <c r="AZ56" s="61"/>
      <c r="BA56" s="61"/>
      <c r="BB56" s="61"/>
      <c r="BC56" s="61"/>
      <c r="BD56" s="61"/>
      <c r="BE56" s="61"/>
      <c r="BF56" s="61"/>
      <c r="BG56" s="61"/>
      <c r="BH56" s="61"/>
      <c r="BI56" s="61"/>
      <c r="BJ56" s="61"/>
      <c r="BK56" s="61"/>
      <c r="BL56" s="61"/>
      <c r="BM56" s="61"/>
      <c r="BN56" s="61"/>
      <c r="BO56" s="61"/>
      <c r="BP56" s="61"/>
      <c r="BQ56" s="61"/>
      <c r="BR56" s="61"/>
    </row>
    <row r="57" ht="15.75" customHeight="1">
      <c r="A57" s="61" t="str">
        <f>IFERROR(__xludf.DUMMYFUNCTION("""COMPUTED_VALUE"""),"Self")</f>
        <v>Self</v>
      </c>
      <c r="B57" s="62">
        <f>IFERROR(__xludf.DUMMYFUNCTION("""COMPUTED_VALUE"""),71.0)</f>
        <v>71</v>
      </c>
      <c r="C57" s="61" t="str">
        <f>IFERROR(__xludf.DUMMYFUNCTION("""COMPUTED_VALUE"""),"Self")</f>
        <v>Self</v>
      </c>
      <c r="D57" s="63" t="str">
        <f>IFERROR(__xludf.DUMMYFUNCTION("""COMPUTED_VALUE"""),"Submitted")</f>
        <v>Submitted</v>
      </c>
      <c r="E57" s="63">
        <f>IFERROR(__xludf.DUMMYFUNCTION("""COMPUTED_VALUE"""),46198.42847222222)</f>
        <v>46198.42847</v>
      </c>
      <c r="F57" s="61" t="str">
        <f>IFERROR(__xludf.DUMMYFUNCTION("""COMPUTED_VALUE"""),"Aisha Azam")</f>
        <v>Aisha Azam</v>
      </c>
      <c r="G57" s="61" t="str">
        <f>IFERROR(__xludf.DUMMYFUNCTION("""COMPUTED_VALUE"""),"Aisha Azam")</f>
        <v>Aisha Azam</v>
      </c>
      <c r="H57" s="61" t="str">
        <f>IFERROR(__xludf.DUMMYFUNCTION("""COMPUTED_VALUE"""),"Aishafatima408@gmail.com")</f>
        <v>Aishafatima408@gmail.com</v>
      </c>
      <c r="I57" s="61" t="str">
        <f>IFERROR(__xludf.DUMMYFUNCTION("""COMPUTED_VALUE"""),"Fatimadiaries408@gmail.com")</f>
        <v>Fatimadiaries408@gmail.com</v>
      </c>
      <c r="J57" s="61" t="str">
        <f>IFERROR(__xludf.DUMMYFUNCTION("""COMPUTED_VALUE"""),"Kalapapruek City Condo, Rachaburi, Thailand")</f>
        <v>Kalapapruek City Condo, Rachaburi, Thailand</v>
      </c>
      <c r="K57" s="61" t="str">
        <f>IFERROR(__xludf.DUMMYFUNCTION("""COMPUTED_VALUE"""),"Pakistan")</f>
        <v>Pakistan</v>
      </c>
      <c r="L57" s="64" t="str">
        <f>IFERROR(__xludf.DUMMYFUNCTION("""COMPUTED_VALUE"""),"0617263160")</f>
        <v>0617263160</v>
      </c>
      <c r="M57" s="64">
        <f>IFERROR(__xludf.DUMMYFUNCTION("""COMPUTED_VALUE"""),32548.0)</f>
        <v>32548</v>
      </c>
      <c r="N57" s="61" t="str">
        <f>IFERROR(__xludf.DUMMYFUNCTION("""COMPUTED_VALUE"""),"FG1842063")</f>
        <v>FG1842063</v>
      </c>
      <c r="O57" s="61" t="str">
        <f>IFERROR(__xludf.DUMMYFUNCTION("""COMPUTED_VALUE"""),"923034623729")</f>
        <v>923034623729</v>
      </c>
      <c r="P57" s="61"/>
      <c r="Q57" s="61"/>
      <c r="R57" s="61" t="str">
        <f>IFERROR(__xludf.DUMMYFUNCTION("""COMPUTED_VALUE"""),"Aisha Fatima")</f>
        <v>Aisha Fatima</v>
      </c>
      <c r="S57" s="61" t="str">
        <f>IFERROR(__xludf.DUMMYFUNCTION("""COMPUTED_VALUE"""),"IMG-20260227-WA0009.jpg")</f>
        <v>IMG-20260227-WA0009.jpg</v>
      </c>
      <c r="T57" s="61" t="str">
        <f>IFERROR(__xludf.DUMMYFUNCTION("""COMPUTED_VALUE"""),"WhatsApp Image 2026-05-05 at 11.51.25 (1).jpeg")</f>
        <v>WhatsApp Image 2026-05-05 at 11.51.25 (1).jpeg</v>
      </c>
      <c r="U57" s="61" t="str">
        <f>IFERROR(__xludf.DUMMYFUNCTION("""COMPUTED_VALUE"""),"PhD")</f>
        <v>PhD</v>
      </c>
      <c r="V57" s="61" t="str">
        <f>IFERROR(__xludf.DUMMYFUNCTION("""COMPUTED_VALUE"""),"Doctor of philosophy")</f>
        <v>Doctor of philosophy</v>
      </c>
      <c r="W57" s="61" t="str">
        <f>IFERROR(__xludf.DUMMYFUNCTION("""COMPUTED_VALUE"""),"Chemistry")</f>
        <v>Chemistry</v>
      </c>
      <c r="X57" s="61" t="str">
        <f>IFERROR(__xludf.DUMMYFUNCTION("""COMPUTED_VALUE"""),"University of Gujrat")</f>
        <v>University of Gujrat</v>
      </c>
      <c r="Y57" s="61" t="str">
        <f>IFERROR(__xludf.DUMMYFUNCTION("""COMPUTED_VALUE"""),"Yes")</f>
        <v>Yes</v>
      </c>
      <c r="Z57" s="61" t="str">
        <f>IFERROR(__xludf.DUMMYFUNCTION("""COMPUTED_VALUE"""),"Pakistan")</f>
        <v>Pakistan</v>
      </c>
      <c r="AA57" s="61" t="str">
        <f>IFERROR(__xludf.DUMMYFUNCTION("""COMPUTED_VALUE"""),"Yes")</f>
        <v>Yes</v>
      </c>
      <c r="AB57" s="61" t="str">
        <f>IFERROR(__xludf.DUMMYFUNCTION("""COMPUTED_VALUE"""),"University of notredame USA")</f>
        <v>University of notredame USA</v>
      </c>
      <c r="AC57" s="61" t="str">
        <f>IFERROR(__xludf.DUMMYFUNCTION("""COMPUTED_VALUE"""),"Yes")</f>
        <v>Yes</v>
      </c>
      <c r="AD57" s="61" t="str">
        <f>IFERROR(__xludf.DUMMYFUNCTION("""COMPUTED_VALUE"""),"no")</f>
        <v>no</v>
      </c>
      <c r="AE57" s="61"/>
      <c r="AF57" s="61"/>
      <c r="AG57" s="61"/>
      <c r="AH57" s="61" t="str">
        <f>IFERROR(__xludf.DUMMYFUNCTION("""COMPUTED_VALUE"""),"Yes")</f>
        <v>Yes</v>
      </c>
      <c r="AI57" s="61" t="str">
        <f>IFERROR(__xludf.DUMMYFUNCTION("""COMPUTED_VALUE"""),"Teacher")</f>
        <v>Teacher</v>
      </c>
      <c r="AJ57" s="61" t="str">
        <f>IFERROR(__xludf.DUMMYFUNCTION("""COMPUTED_VALUE"""),"no")</f>
        <v>no</v>
      </c>
      <c r="AK57" s="61"/>
      <c r="AL57" s="61" t="str">
        <f>IFERROR(__xludf.DUMMYFUNCTION("""COMPUTED_VALUE"""),"Teacher")</f>
        <v>Teacher</v>
      </c>
      <c r="AM57" s="61" t="str">
        <f>IFERROR(__xludf.DUMMYFUNCTION("""COMPUTED_VALUE"""),"Dr aisha CV job.pdf")</f>
        <v>Dr aisha CV job.pdf</v>
      </c>
      <c r="AN57" s="61" t="str">
        <f>IFERROR(__xludf.DUMMYFUNCTION("""COMPUTED_VALUE"""),"Yes, I have always believed that small actions can create meaningful changes in the world. In my personal capacity, I try to make an impact by sharing knowledge, supporting students, and encouraging young people to believe in their abilities. As a teacher"&amp;", I contribute by creating a positive learning environment and helping students develop curiosity and confidence. I also try to be responsible toward society by respecting different cultures, helping others when possible, and continuously improving myself"&amp;". I believe change begins with education, kindness, and individual efforts that inspire others to create a better future.")</f>
        <v>Yes, I have always believed that small actions can create meaningful changes in the world. In my personal capacity, I try to make an impact by sharing knowledge, supporting students, and encouraging young people to believe in their abilities. As a teacher, I contribute by creating a positive learning environment and helping students develop curiosity and confidence. I also try to be responsible toward society by respecting different cultures, helping others when possible, and continuously improving myself. I believe change begins with education, kindness, and individual efforts that inspire others to create a better future.</v>
      </c>
      <c r="AO57" s="61" t="str">
        <f>IFERROR(__xludf.DUMMYFUNCTION("""COMPUTED_VALUE"""),"I believe the United States is one of the most diplomatically significant countries in the world because of its major role in international relations, global security, economy, science, and technology. Through organizations such as the United Nations and "&amp;"various international partnerships, it influences many global decisions. However, I also believe that countries like China, Japan, India, and members of the European Union have important diplomatic roles because they contribute to global development, peac"&amp;"e, and cooperation. In today’s interconnected world, diplomacy is not only about power but also about collaboration, mutual respect, and finding solutions to global challenges.")</f>
        <v>I believe the United States is one of the most diplomatically significant countries in the world because of its major role in international relations, global security, economy, science, and technology. Through organizations such as the United Nations and various international partnerships, it influences many global decisions. However, I also believe that countries like China, Japan, India, and members of the European Union have important diplomatic roles because they contribute to global development, peace, and cooperation. In today’s interconnected world, diplomacy is not only about power but also about collaboration, mutual respect, and finding solutions to global challenges.</v>
      </c>
      <c r="AP57" s="61" t="str">
        <f>IFERROR(__xludf.DUMMYFUNCTION("""COMPUTED_VALUE"""),"Youth play an important role in diplomacy because they represent the future of international relations and global cooperation. Young people can contribute to diplomacy by promoting cultural understanding, sharing ideas, creating connections across borders"&amp;", and using technology to communicate positive messages. Today, youth are not only observers but also active participants in solving global challenges such as climate change, education, equality, and peace.
I relate to the idea of Public Diplomacy becaus"&amp;"e it focuses on building relationships between people and countries through communication, culture, and mutual understanding. As a teacher, I believe education is a powerful form of public diplomacy because it helps people learn about different perspectiv"&amp;"es and respect diversity. By interacting with students and people from different backgrounds, I try to encourage openness, cooperation, and global awareness. I believe that even small personal efforts, such as sharing knowledge and creating positive conne"&amp;"ctions, can contribute to a better relationship between communities and nations. Youth have the creativity, energy, and ability to become bridges between cultures and promote peace in the world.")</f>
        <v>Youth play an important role in diplomacy because they represent the future of international relations and global cooperation. Young people can contribute to diplomacy by promoting cultural understanding, sharing ideas, creating connections across borders, and using technology to communicate positive messages. Today, youth are not only observers but also active participants in solving global challenges such as climate change, education, equality, and peace.
I relate to the idea of Public Diplomacy because it focuses on building relationships between people and countries through communication, culture, and mutual understanding. As a teacher, I believe education is a powerful form of public diplomacy because it helps people learn about different perspectives and respect diversity. By interacting with students and people from different backgrounds, I try to encourage openness, cooperation, and global awareness. I believe that even small personal efforts, such as sharing knowledge and creating positive connections, can contribute to a better relationship between communities and nations. Youth have the creativity, energy, and ability to become bridges between cultures and promote peace in the world.</v>
      </c>
      <c r="AQ57" s="61" t="str">
        <f>IFERROR(__xludf.DUMMYFUNCTION("""COMPUTED_VALUE"""),"Passion is a strong feeling of interest, dedication, and motivation toward something that we truly value. It gives us the energy and determination to continue working even when we face challenges. Passion helps us achieve our goals because it keeps us foc"&amp;"used, encourages continuous learning, and inspires us to improve ourselves. When we are passionate about something, we do not see difficulties as barriers but as opportunities to grow.
My passion for education and sharing knowledge motivates me to keep d"&amp;"eveloping my skills and making a positive impact on others. It helps me stay committed to my goals and reminds me that every small effort can create meaningful change. Passion also gives me confidence to take new opportunities, learn from experiences, and"&amp;" contribute to society. I believe that with passion, dedication, and hard work, we can turn our dreams into reality and create a better future.")</f>
        <v>Passion is a strong feeling of interest, dedication, and motivation toward something that we truly value. It gives us the energy and determination to continue working even when we face challenges. Passion helps us achieve our goals because it keeps us focused, encourages continuous learning, and inspires us to improve ourselves. When we are passionate about something, we do not see difficulties as barriers but as opportunities to grow.
My passion for education and sharing knowledge motivates me to keep developing my skills and making a positive impact on others. It helps me stay committed to my goals and reminds me that every small effort can create meaningful change. Passion also gives me confidence to take new opportunities, learn from experiences, and contribute to society. I believe that with passion, dedication, and hard work, we can turn our dreams into reality and create a better future.</v>
      </c>
      <c r="AR57" s="61" t="str">
        <f>IFERROR(__xludf.DUMMYFUNCTION("""COMPUTED_VALUE"""),"es, I consider myself a creative person because I enjoy finding new ways to solve problems, communicate ideas, and connect with people. Creativity helps me look at situations from different perspectives and develop meaningful approaches. As a teacher, I u"&amp;"se creativity to make learning more interesting by designing activities, simplifying difficult concepts, and encouraging students to express their ideas.
Creativity can become an effective public diplomacy strategy because it helps people communicate bey"&amp;"ond traditional methods. Through creative approaches such as cultural exchange, storytelling, education, art, social media, and community projects, people can build understanding and positive relationships between different countries and cultures. Public "&amp;"diplomacy is not only about official communication between governments; it is also about creating connections between people.
I believe creative individuals, especially youth, can use their skills to represent their culture, share positive messages, and "&amp;"promote cooperation. By combining creativity with empathy and communication, we can create platforms where people from different backgrounds learn from each other and develop mutual respect. In this way, creativity becomes a powerful tool for building tru"&amp;"st, friendship, and global understanding.")</f>
        <v>es, I consider myself a creative person because I enjoy finding new ways to solve problems, communicate ideas, and connect with people. Creativity helps me look at situations from different perspectives and develop meaningful approaches. As a teacher, I use creativity to make learning more interesting by designing activities, simplifying difficult concepts, and encouraging students to express their ideas.
Creativity can become an effective public diplomacy strategy because it helps people communicate beyond traditional methods. Through creative approaches such as cultural exchange, storytelling, education, art, social media, and community projects, people can build understanding and positive relationships between different countries and cultures. Public diplomacy is not only about official communication between governments; it is also about creating connections between people.
I believe creative individuals, especially youth, can use their skills to represent their culture, share positive messages, and promote cooperation. By combining creativity with empathy and communication, we can create platforms where people from different backgrounds learn from each other and develop mutual respect. In this way, creativity becomes a powerful tool for building trust, friendship, and global understanding.</v>
      </c>
      <c r="AS57" s="61" t="str">
        <f>IFERROR(__xludf.DUMMYFUNCTION("""COMPUTED_VALUE"""),"Yes")</f>
        <v>Yes</v>
      </c>
      <c r="AT57" s="61" t="str">
        <f>IFERROR(__xludf.DUMMYFUNCTION("""COMPUTED_VALUE"""),"Yes")</f>
        <v>Yes</v>
      </c>
      <c r="AU57" s="61" t="str">
        <f>IFERROR(__xludf.DUMMYFUNCTION("""COMPUTED_VALUE"""),"Global Politics, Diplomacy &amp; Identities")</f>
        <v>Global Politics, Diplomacy &amp; Identities</v>
      </c>
      <c r="AV57" s="61" t="str">
        <f>IFERROR(__xludf.DUMMYFUNCTION("""COMPUTED_VALUE"""),"From Facebook")</f>
        <v>From Facebook</v>
      </c>
      <c r="AW57" s="61" t="str">
        <f>IFERROR(__xludf.DUMMYFUNCTION("""COMPUTED_VALUE"""),"Public diplomacy")</f>
        <v>Public diplomacy</v>
      </c>
      <c r="AX57" s="66" t="str">
        <f>IFERROR(__xludf.DUMMYFUNCTION("""COMPUTED_VALUE"""),"Yes")</f>
        <v>Yes</v>
      </c>
      <c r="AY57" s="66">
        <f>IFERROR(__xludf.DUMMYFUNCTION("""COMPUTED_VALUE"""),15.99)</f>
        <v>15.99</v>
      </c>
      <c r="AZ57" s="61"/>
      <c r="BA57" s="61"/>
      <c r="BB57" s="61"/>
      <c r="BC57" s="61"/>
      <c r="BD57" s="61"/>
      <c r="BE57" s="61"/>
      <c r="BF57" s="61"/>
      <c r="BG57" s="61"/>
      <c r="BH57" s="61"/>
      <c r="BI57" s="61"/>
      <c r="BJ57" s="61"/>
      <c r="BK57" s="61"/>
      <c r="BL57" s="61"/>
      <c r="BM57" s="61"/>
      <c r="BN57" s="61"/>
      <c r="BO57" s="61"/>
      <c r="BP57" s="61"/>
      <c r="BQ57" s="61"/>
      <c r="BR57" s="61"/>
    </row>
    <row r="58" ht="15.75" customHeight="1">
      <c r="A58" s="61" t="str">
        <f>IFERROR(__xludf.DUMMYFUNCTION("""COMPUTED_VALUE"""),"Self")</f>
        <v>Self</v>
      </c>
      <c r="B58" s="62">
        <f>IFERROR(__xludf.DUMMYFUNCTION("""COMPUTED_VALUE"""),72.0)</f>
        <v>72</v>
      </c>
      <c r="C58" s="61" t="str">
        <f>IFERROR(__xludf.DUMMYFUNCTION("""COMPUTED_VALUE"""),"Self")</f>
        <v>Self</v>
      </c>
      <c r="D58" s="63" t="str">
        <f>IFERROR(__xludf.DUMMYFUNCTION("""COMPUTED_VALUE"""),"Submitted")</f>
        <v>Submitted</v>
      </c>
      <c r="E58" s="63">
        <f>IFERROR(__xludf.DUMMYFUNCTION("""COMPUTED_VALUE"""),46198.50694444445)</f>
        <v>46198.50694</v>
      </c>
      <c r="F58" s="61" t="str">
        <f>IFERROR(__xludf.DUMMYFUNCTION("""COMPUTED_VALUE"""),"Sanzhar Karybayev")</f>
        <v>Sanzhar Karybayev</v>
      </c>
      <c r="G58" s="61" t="str">
        <f>IFERROR(__xludf.DUMMYFUNCTION("""COMPUTED_VALUE"""),"KARYBAYEV SANZHAR")</f>
        <v>KARYBAYEV SANZHAR</v>
      </c>
      <c r="H58" s="61" t="str">
        <f>IFERROR(__xludf.DUMMYFUNCTION("""COMPUTED_VALUE"""),"KarybayevaK@gmail.com")</f>
        <v>KarybayevaK@gmail.com</v>
      </c>
      <c r="I58" s="61" t="str">
        <f>IFERROR(__xludf.DUMMYFUNCTION("""COMPUTED_VALUE"""),"galymulysanzhar06@gmail.com")</f>
        <v>galymulysanzhar06@gmail.com</v>
      </c>
      <c r="J58" s="61" t="str">
        <f>IFERROR(__xludf.DUMMYFUNCTION("""COMPUTED_VALUE"""),"Mangilik el, 41/4, Astana, Kazakhstan")</f>
        <v>Mangilik el, 41/4, Astana, Kazakhstan</v>
      </c>
      <c r="K58" s="61" t="str">
        <f>IFERROR(__xludf.DUMMYFUNCTION("""COMPUTED_VALUE"""),"Kazakhstan")</f>
        <v>Kazakhstan</v>
      </c>
      <c r="L58" s="64" t="str">
        <f>IFERROR(__xludf.DUMMYFUNCTION("""COMPUTED_VALUE"""),"+7 (775) 769 6823")</f>
        <v>+7 (775) 769 6823</v>
      </c>
      <c r="M58" s="64">
        <f>IFERROR(__xludf.DUMMYFUNCTION("""COMPUTED_VALUE"""),38797.0)</f>
        <v>38797</v>
      </c>
      <c r="N58" s="61" t="str">
        <f>IFERROR(__xludf.DUMMYFUNCTION("""COMPUTED_VALUE"""),"N15673599")</f>
        <v>N15673599</v>
      </c>
      <c r="O58" s="61" t="str">
        <f>IFERROR(__xludf.DUMMYFUNCTION("""COMPUTED_VALUE"""),"+7 (705) 545 9892")</f>
        <v>+7 (705) 545 9892</v>
      </c>
      <c r="P58" s="61"/>
      <c r="Q58" s="61"/>
      <c r="R58" s="61"/>
      <c r="S58" s="61" t="str">
        <f>IFERROR(__xludf.DUMMYFUNCTION("""COMPUTED_VALUE"""),"Passport.pdf")</f>
        <v>Passport.pdf</v>
      </c>
      <c r="T58" s="61" t="str">
        <f>IFERROR(__xludf.DUMMYFUNCTION("""COMPUTED_VALUE"""),"Sanzhar_photo.pdf")</f>
        <v>Sanzhar_photo.pdf</v>
      </c>
      <c r="U58" s="61" t="str">
        <f>IFERROR(__xludf.DUMMYFUNCTION("""COMPUTED_VALUE"""),"Foundation Program")</f>
        <v>Foundation Program</v>
      </c>
      <c r="V58" s="61" t="str">
        <f>IFERROR(__xludf.DUMMYFUNCTION("""COMPUTED_VALUE"""),"Foundation Certificate")</f>
        <v>Foundation Certificate</v>
      </c>
      <c r="W58" s="61" t="str">
        <f>IFERROR(__xludf.DUMMYFUNCTION("""COMPUTED_VALUE"""),"International Business Management BSC")</f>
        <v>International Business Management BSC</v>
      </c>
      <c r="X58" s="61" t="str">
        <f>IFERROR(__xludf.DUMMYFUNCTION("""COMPUTED_VALUE"""),"Girne American University")</f>
        <v>Girne American University</v>
      </c>
      <c r="Y58" s="61" t="str">
        <f>IFERROR(__xludf.DUMMYFUNCTION("""COMPUTED_VALUE"""),"Yes")</f>
        <v>Yes</v>
      </c>
      <c r="Z58" s="61" t="str">
        <f>IFERROR(__xludf.DUMMYFUNCTION("""COMPUTED_VALUE"""),"Cyprus")</f>
        <v>Cyprus</v>
      </c>
      <c r="AA58" s="61" t="str">
        <f>IFERROR(__xludf.DUMMYFUNCTION("""COMPUTED_VALUE"""),"No")</f>
        <v>No</v>
      </c>
      <c r="AB58" s="61"/>
      <c r="AC58" s="61" t="str">
        <f>IFERROR(__xludf.DUMMYFUNCTION("""COMPUTED_VALUE"""),"yes")</f>
        <v>yes</v>
      </c>
      <c r="AD58" s="61" t="str">
        <f>IFERROR(__xludf.DUMMYFUNCTION("""COMPUTED_VALUE"""),"EXPO-2017")</f>
        <v>EXPO-2017</v>
      </c>
      <c r="AE58" s="65" t="str">
        <f>IFERROR(__xludf.DUMMYFUNCTION("""COMPUTED_VALUE"""),"https://expo2017astana.com")</f>
        <v>https://expo2017astana.com</v>
      </c>
      <c r="AF58" s="61" t="str">
        <f>IFERROR(__xludf.DUMMYFUNCTION("""COMPUTED_VALUE"""),"Volunteer")</f>
        <v>Volunteer</v>
      </c>
      <c r="AG58" s="61" t="str">
        <f>IFERROR(__xludf.DUMMYFUNCTION("""COMPUTED_VALUE"""),"2017")</f>
        <v>2017</v>
      </c>
      <c r="AH58" s="61" t="str">
        <f>IFERROR(__xludf.DUMMYFUNCTION("""COMPUTED_VALUE"""),"No")</f>
        <v>No</v>
      </c>
      <c r="AI58" s="61"/>
      <c r="AJ58" s="61"/>
      <c r="AK58" s="61"/>
      <c r="AL58" s="61" t="str">
        <f>IFERROR(__xludf.DUMMYFUNCTION("""COMPUTED_VALUE"""),"Cross-cultural communication, Business strategy understanding, Project management, Linux / OS fundamentals, Microsoft Excel (basic), Technical problem-solving, Time management, Adaptability, Public speaking")</f>
        <v>Cross-cultural communication, Business strategy understanding, Project management, Linux / OS fundamentals, Microsoft Excel (basic), Technical problem-solving, Time management, Adaptability, Public speaking</v>
      </c>
      <c r="AM58" s="61" t="str">
        <f>IFERROR(__xludf.DUMMYFUNCTION("""COMPUTED_VALUE"""),"CV_Sanzhar Karybayev.pdf")</f>
        <v>CV_Sanzhar Karybayev.pdf</v>
      </c>
      <c r="AN58" s="61" t="str">
        <f>IFERROR(__xludf.DUMMYFUNCTION("""COMPUTED_VALUE"""),"Yes, I have thought about changing the world, and in my personal capacity I focused on improving teamwork, communication, and group motivation. While working in different jobs and volunteering, I often faced organizational challenges and lack of coordinat"&amp;"ion within teams. To address this, I initiated short 10-minute morning check-ins where team members shared their daily mindset using simple interactive methods, including the “I Am” circle, where each person completed the phrase “I am…” to express their c"&amp;"urrent feelings and identity. I also introduced light team-building activities such as card games and quick ice-breakers to strengthen trust, confidence, and group cohesion.")</f>
        <v>Yes, I have thought about changing the world, and in my personal capacity I focused on improving teamwork, communication, and group motivation. While working in different jobs and volunteering, I often faced organizational challenges and lack of coordination within teams. To address this, I initiated short 10-minute morning check-ins where team members shared their daily mindset using simple interactive methods, including the “I Am” circle, where each person completed the phrase “I am…” to express their current feelings and identity. I also introduced light team-building activities such as card games and quick ice-breakers to strengthen trust, confidence, and group cohesion.</v>
      </c>
      <c r="AO58" s="61" t="str">
        <f>IFERROR(__xludf.DUMMYFUNCTION("""COMPUTED_VALUE"""),"I believe diplomatically significant countries are those that actively promote global cooperation through education, cultural exchange, and international programs. Such countries provide fully funded scholarships, internships, and exchange opportunities t"&amp;"hat connect people from different nationalities. For example, some countries offer programs like GKS in Korea or Fulbright in the United States, which attract global talent and strengthen international understanding. In addition, international forums and "&amp;"summits such as YPDS bring together young leaders from different countries to exchange ideas and build cooperation. These initiatives help develop mutual trust, cross-cultural communication, and long-term diplomatic relationships between nations.")</f>
        <v>I believe diplomatically significant countries are those that actively promote global cooperation through education, cultural exchange, and international programs. Such countries provide fully funded scholarships, internships, and exchange opportunities that connect people from different nationalities. For example, some countries offer programs like GKS in Korea or Fulbright in the United States, which attract global talent and strengthen international understanding. In addition, international forums and summits such as YPDS bring together young leaders from different countries to exchange ideas and build cooperation. These initiatives help develop mutual trust, cross-cultural communication, and long-term diplomatic relationships between nations.</v>
      </c>
      <c r="AP58" s="61" t="str">
        <f>IFERROR(__xludf.DUMMYFUNCTION("""COMPUTED_VALUE"""),"“As the character Dumbledore in Harry Potter once said, ‘Words are, in my not-so-humble opinion, our most inexhaustible source of magic.’” This highlights the power of communication in shaping understanding between people and cultures. That is why it is i"&amp;"mportant to develop diplomatic and communication skills from an early age, especially in a world influenced by technology and artificial intelligence.
Youth play a key role in diplomacy by building bridges between cultures through education, internationa"&amp;"l programs, and dialogue. Every interaction contributes to mutual understanding between nations.
In addition, when we study abroad, each of us in a way represents our country. We become the face of our nation, and the way we behave, communicate, and pres"&amp;"ent ourselves shapes not only how people perceive us individually, but also how they perceive our country as a whole. This responsibility highlights the importance of respect, cultural awareness, and emotional intelligence in international environments.
"&amp;"I relate to public diplomacy through my experience in Cyprus, where I studied in a multicultural environment. I learned that even small daily interactions can influence cultural perceptions. Through teamwork, volunteering, and service work, I developed co"&amp;"mmunication and problem-solving skills that strengthened my understanding of global cooperation.")</f>
        <v>“As the character Dumbledore in Harry Potter once said, ‘Words are, in my not-so-humble opinion, our most inexhaustible source of magic.’” This highlights the power of communication in shaping understanding between people and cultures. That is why it is important to develop diplomatic and communication skills from an early age, especially in a world influenced by technology and artificial intelligence.
Youth play a key role in diplomacy by building bridges between cultures through education, international programs, and dialogue. Every interaction contributes to mutual understanding between nations.
In addition, when we study abroad, each of us in a way represents our country. We become the face of our nation, and the way we behave, communicate, and present ourselves shapes not only how people perceive us individually, but also how they perceive our country as a whole. This responsibility highlights the importance of respect, cultural awareness, and emotional intelligence in international environments.
I relate to public diplomacy through my experience in Cyprus, where I studied in a multicultural environment. I learned that even small daily interactions can influence cultural perceptions. Through teamwork, volunteering, and service work, I developed communication and problem-solving skills that strengthened my understanding of global cooperation.</v>
      </c>
      <c r="AQ58" s="61" t="str">
        <f>IFERROR(__xludf.DUMMYFUNCTION("""COMPUTED_VALUE"""),"As it is said in The Pursuit of Happyness, “Don’t ever let somebody tell you you can’t do something. Not even me.” This reflects the importance of persistence and inner motivation in achieving goals.
For me, happiness is deeply connected with the feeling "&amp;"of belonging and support. During my three years of studying in Cyprus, I realized that one of the most important sources of happiness is knowing that you are always welcomed and supported at home, no matter where you are.
At the beginning, it was difficul"&amp;"t for me to adapt to a new environment, food, and lifestyle, especially because at home many things were done for me by my parents. However, this experience taught me independence and the importance of communication and adaptation. I learned how to manage"&amp;" daily responsibilities, solve problems, and build relationships in a new environment.
Ultimately, happiness is growth, connection, and adaptation.")</f>
        <v>As it is said in The Pursuit of Happyness, “Don’t ever let somebody tell you you can’t do something. Not even me.” This reflects the importance of persistence and inner motivation in achieving goals.
For me, happiness is deeply connected with the feeling of belonging and support. During my three years of studying in Cyprus, I realized that one of the most important sources of happiness is knowing that you are always welcomed and supported at home, no matter where you are.
At the beginning, it was difficult for me to adapt to a new environment, food, and lifestyle, especially because at home many things were done for me by my parents. However, this experience taught me independence and the importance of communication and adaptation. I learned how to manage daily responsibilities, solve problems, and build relationships in a new environment.
Ultimately, happiness is growth, connection, and adaptation.</v>
      </c>
      <c r="AR58" s="61" t="str">
        <f>IFERROR(__xludf.DUMMYFUNCTION("""COMPUTED_VALUE"""),"Yes, I consider myself a creative person, and this creativity has been present in me since childhood. From an early age, I was interested in understanding people, communicating, and finding ways to bring others together. My favorite school subjects—Histor"&amp;"y of Kazakhstan, World History, and Geography - strengthened my curiosity about cultures, countries, and global connections.
Since childhood, my family noticed my ability to communicate and negotiate. I was often able to resolve small conflicts between my"&amp;" siblings or organize gatherings with friends where everyone participated. This helped me develop early skills in dialogue, compromise, and social understanding.
As I grew older, I continued applying this ability in volunteering, service work, and constru"&amp;"ction jobs. These experiences taught me how to communicate with people of different ages and backgrounds, adapt to new environments, and build trust quickly.
Although like anyone I sometimes face low motivation, I often experience strong creative energy w"&amp;"hen I discover new ideas or challenges. I enjoy connecting with people and learning from their experiences.
I believe this creativity can be turned into an effective public diplomacy strategy by promoting dialogue, reducing cultural barriers, and building"&amp;" trust between individuals from different countries.")</f>
        <v>Yes, I consider myself a creative person, and this creativity has been present in me since childhood. From an early age, I was interested in understanding people, communicating, and finding ways to bring others together. My favorite school subjects—History of Kazakhstan, World History, and Geography - strengthened my curiosity about cultures, countries, and global connections.
Since childhood, my family noticed my ability to communicate and negotiate. I was often able to resolve small conflicts between my siblings or organize gatherings with friends where everyone participated. This helped me develop early skills in dialogue, compromise, and social understanding.
As I grew older, I continued applying this ability in volunteering, service work, and construction jobs. These experiences taught me how to communicate with people of different ages and backgrounds, adapt to new environments, and build trust quickly.
Although like anyone I sometimes face low motivation, I often experience strong creative energy when I discover new ideas or challenges. I enjoy connecting with people and learning from their experiences.
I believe this creativity can be turned into an effective public diplomacy strategy by promoting dialogue, reducing cultural barriers, and building trust between individuals from different countries.</v>
      </c>
      <c r="AS58" s="61" t="str">
        <f>IFERROR(__xludf.DUMMYFUNCTION("""COMPUTED_VALUE"""),"Yes")</f>
        <v>Yes</v>
      </c>
      <c r="AT58" s="61" t="str">
        <f>IFERROR(__xludf.DUMMYFUNCTION("""COMPUTED_VALUE"""),"Yes")</f>
        <v>Yes</v>
      </c>
      <c r="AU58" s="61" t="str">
        <f>IFERROR(__xludf.DUMMYFUNCTION("""COMPUTED_VALUE"""),"Global Politics, Diplomacy &amp; Identities")</f>
        <v>Global Politics, Diplomacy &amp; Identities</v>
      </c>
      <c r="AV58" s="61" t="str">
        <f>IFERROR(__xludf.DUMMYFUNCTION("""COMPUTED_VALUE"""),"Scholarship portal")</f>
        <v>Scholarship portal</v>
      </c>
      <c r="AW58" s="61" t="str">
        <f>IFERROR(__xludf.DUMMYFUNCTION("""COMPUTED_VALUE"""),"Strategic Communication")</f>
        <v>Strategic Communication</v>
      </c>
      <c r="AX58" s="66" t="str">
        <f>IFERROR(__xludf.DUMMYFUNCTION("""COMPUTED_VALUE"""),"Yes")</f>
        <v>Yes</v>
      </c>
      <c r="AY58" s="66">
        <f>IFERROR(__xludf.DUMMYFUNCTION("""COMPUTED_VALUE"""),15.99)</f>
        <v>15.99</v>
      </c>
      <c r="AZ58" s="61"/>
      <c r="BA58" s="61"/>
      <c r="BB58" s="61"/>
      <c r="BC58" s="61"/>
      <c r="BD58" s="61"/>
      <c r="BE58" s="61"/>
      <c r="BF58" s="61"/>
      <c r="BG58" s="61"/>
      <c r="BH58" s="61"/>
      <c r="BI58" s="61"/>
      <c r="BJ58" s="61"/>
      <c r="BK58" s="61"/>
      <c r="BL58" s="61"/>
      <c r="BM58" s="61"/>
      <c r="BN58" s="61"/>
      <c r="BO58" s="61"/>
      <c r="BP58" s="61"/>
      <c r="BQ58" s="61"/>
      <c r="BR58" s="61"/>
    </row>
    <row r="59" ht="15.75" customHeight="1">
      <c r="A59" s="61" t="str">
        <f>IFERROR(__xludf.DUMMYFUNCTION("""COMPUTED_VALUE"""),"Full")</f>
        <v>Full</v>
      </c>
      <c r="B59" s="62">
        <f>IFERROR(__xludf.DUMMYFUNCTION("""COMPUTED_VALUE"""),73.0)</f>
        <v>73</v>
      </c>
      <c r="C59" s="61" t="str">
        <f>IFERROR(__xludf.DUMMYFUNCTION("""COMPUTED_VALUE"""),"Full")</f>
        <v>Full</v>
      </c>
      <c r="D59" s="63" t="str">
        <f>IFERROR(__xludf.DUMMYFUNCTION("""COMPUTED_VALUE"""),"Submitted")</f>
        <v>Submitted</v>
      </c>
      <c r="E59" s="63">
        <f>IFERROR(__xludf.DUMMYFUNCTION("""COMPUTED_VALUE"""),46199.67013888889)</f>
        <v>46199.67014</v>
      </c>
      <c r="F59" s="61" t="str">
        <f>IFERROR(__xludf.DUMMYFUNCTION("""COMPUTED_VALUE"""),"Maryam Mirzaee")</f>
        <v>Maryam Mirzaee</v>
      </c>
      <c r="G59" s="61" t="str">
        <f>IFERROR(__xludf.DUMMYFUNCTION("""COMPUTED_VALUE"""),"Maryam Mirzaee")</f>
        <v>Maryam Mirzaee</v>
      </c>
      <c r="H59" s="61" t="str">
        <f>IFERROR(__xludf.DUMMYFUNCTION("""COMPUTED_VALUE"""),"mirzaeemaryam1997@gmail.com")</f>
        <v>mirzaeemaryam1997@gmail.com</v>
      </c>
      <c r="I59" s="61" t="str">
        <f>IFERROR(__xludf.DUMMYFUNCTION("""COMPUTED_VALUE"""),"maryammirzaee063@gmail.com")</f>
        <v>maryammirzaee063@gmail.com</v>
      </c>
      <c r="J59" s="61" t="str">
        <f>IFERROR(__xludf.DUMMYFUNCTION("""COMPUTED_VALUE"""),"Chittagong, Bangladesh")</f>
        <v>Chittagong, Bangladesh</v>
      </c>
      <c r="K59" s="61" t="str">
        <f>IFERROR(__xludf.DUMMYFUNCTION("""COMPUTED_VALUE"""),"Afghanistan")</f>
        <v>Afghanistan</v>
      </c>
      <c r="L59" s="64" t="str">
        <f>IFERROR(__xludf.DUMMYFUNCTION("""COMPUTED_VALUE"""),"+8801404476779")</f>
        <v>+8801404476779</v>
      </c>
      <c r="M59" s="64">
        <f>IFERROR(__xludf.DUMMYFUNCTION("""COMPUTED_VALUE"""),35596.0)</f>
        <v>35596</v>
      </c>
      <c r="N59" s="61" t="str">
        <f>IFERROR(__xludf.DUMMYFUNCTION("""COMPUTED_VALUE"""),"P04343906")</f>
        <v>P04343906</v>
      </c>
      <c r="O59" s="61" t="str">
        <f>IFERROR(__xludf.DUMMYFUNCTION("""COMPUTED_VALUE"""),"+93749037720")</f>
        <v>+93749037720</v>
      </c>
      <c r="P59" s="61"/>
      <c r="Q59" s="61"/>
      <c r="R59" s="61"/>
      <c r="S59" s="61" t="str">
        <f>IFERROR(__xludf.DUMMYFUNCTION("""COMPUTED_VALUE"""),"2 001 (1).jpg")</f>
        <v>2 001 (1).jpg</v>
      </c>
      <c r="T59" s="61" t="str">
        <f>IFERROR(__xludf.DUMMYFUNCTION("""COMPUTED_VALUE"""),"WhatsApp Image 2026-06-21 at 15.22.14.jpeg")</f>
        <v>WhatsApp Image 2026-06-21 at 15.22.14.jpeg</v>
      </c>
      <c r="U59" s="61" t="str">
        <f>IFERROR(__xludf.DUMMYFUNCTION("""COMPUTED_VALUE"""),"Master of Art in Education")</f>
        <v>Master of Art in Education</v>
      </c>
      <c r="V59" s="61" t="str">
        <f>IFERROR(__xludf.DUMMYFUNCTION("""COMPUTED_VALUE"""),"Master")</f>
        <v>Master</v>
      </c>
      <c r="W59" s="61"/>
      <c r="X59" s="61" t="str">
        <f>IFERROR(__xludf.DUMMYFUNCTION("""COMPUTED_VALUE"""),"Asian University for Women")</f>
        <v>Asian University for Women</v>
      </c>
      <c r="Y59" s="61" t="str">
        <f>IFERROR(__xludf.DUMMYFUNCTION("""COMPUTED_VALUE"""),"Yes")</f>
        <v>Yes</v>
      </c>
      <c r="Z59" s="61" t="str">
        <f>IFERROR(__xludf.DUMMYFUNCTION("""COMPUTED_VALUE"""),"Bangladesh")</f>
        <v>Bangladesh</v>
      </c>
      <c r="AA59" s="61" t="str">
        <f>IFERROR(__xludf.DUMMYFUNCTION("""COMPUTED_VALUE"""),"No")</f>
        <v>No</v>
      </c>
      <c r="AB59" s="61"/>
      <c r="AC59" s="61" t="str">
        <f>IFERROR(__xludf.DUMMYFUNCTION("""COMPUTED_VALUE"""),"Yes")</f>
        <v>Yes</v>
      </c>
      <c r="AD59" s="61" t="str">
        <f>IFERROR(__xludf.DUMMYFUNCTION("""COMPUTED_VALUE"""),"Amal Foundation, JAAGO Foundation, COA")</f>
        <v>Amal Foundation, JAAGO Foundation, COA</v>
      </c>
      <c r="AE59" s="65" t="str">
        <f>IFERROR(__xludf.DUMMYFUNCTION("""COMPUTED_VALUE"""),"https://amalbangladesh.org/")</f>
        <v>https://amalbangladesh.org/</v>
      </c>
      <c r="AF59" s="61" t="str">
        <f>IFERROR(__xludf.DUMMYFUNCTION("""COMPUTED_VALUE"""),"Volunteer")</f>
        <v>Volunteer</v>
      </c>
      <c r="AG59" s="61" t="str">
        <f>IFERROR(__xludf.DUMMYFUNCTION("""COMPUTED_VALUE"""),"3")</f>
        <v>3</v>
      </c>
      <c r="AH59" s="61" t="str">
        <f>IFERROR(__xludf.DUMMYFUNCTION("""COMPUTED_VALUE"""),"No")</f>
        <v>No</v>
      </c>
      <c r="AI59" s="61"/>
      <c r="AJ59" s="61" t="str">
        <f>IFERROR(__xludf.DUMMYFUNCTION("""COMPUTED_VALUE"""),"Yes, Green Designers Club")</f>
        <v>Yes, Green Designers Club</v>
      </c>
      <c r="AK59" s="61" t="str">
        <f>IFERROR(__xludf.DUMMYFUNCTION("""COMPUTED_VALUE"""),"Yes. I founded Green Designers, a student-led initiative at the Asian University for Women that aims to reduce textile waste, promote sustainability, and empower young women through creativity and entrepreneurship, particularly for those who rely on schol"&amp;"arships. It was selected and supported by the Millennium Fellowship 2024, which helped strengthen and expand the project's social and environmental impact.")</f>
        <v>Yes. I founded Green Designers, a student-led initiative at the Asian University for Women that aims to reduce textile waste, promote sustainability, and empower young women through creativity and entrepreneurship, particularly for those who rely on scholarships. It was selected and supported by the Millennium Fellowship 2024, which helped strengthen and expand the project's social and environmental impact.</v>
      </c>
      <c r="AL59" s="61" t="str">
        <f>IFERROR(__xludf.DUMMYFUNCTION("""COMPUTED_VALUE"""),"Research and academic writing, cross-cultural communication, leadership and teamwork, public speaking and presenation")</f>
        <v>Research and academic writing, cross-cultural communication, leadership and teamwork, public speaking and presenation</v>
      </c>
      <c r="AM59" s="61" t="str">
        <f>IFERROR(__xludf.DUMMYFUNCTION("""COMPUTED_VALUE"""),"resume of Maryam.pdf")</f>
        <v>resume of Maryam.pdf</v>
      </c>
      <c r="AN59" s="61" t="str">
        <f>IFERROR(__xludf.DUMMYFUNCTION("""COMPUTED_VALUE"""),"Yes. I have always thought in creating positive change through small but meaningful actions. In Afghanistan, I worked as a civil activist with the Civil Rights &amp; Investigation Organization for Afghanistan (COA). In Bangladesh, I founded Green Designers, a"&amp;" student-led initiative that promotes sustainable fashion while creating income-generating opportunities for scholarship students. Additionally, during my internship at AUW School, where many students are Rohingya refugees from Myanmar, I observed challen"&amp;"ges related to confidence, English proficiency, and technology skills. In response, we proposed the Summer Initiative Lab, offering programs in English Communication, Digital Literacy and AI, and Critical Reading.")</f>
        <v>Yes. I have always thought in creating positive change through small but meaningful actions. In Afghanistan, I worked as a civil activist with the Civil Rights &amp; Investigation Organization for Afghanistan (COA). In Bangladesh, I founded Green Designers, a student-led initiative that promotes sustainable fashion while creating income-generating opportunities for scholarship students. Additionally, during my internship at AUW School, where many students are Rohingya refugees from Myanmar, I observed challenges related to confidence, English proficiency, and technology skills. In response, we proposed the Summer Initiative Lab, offering programs in English Communication, Digital Literacy and AI, and Critical Reading.</v>
      </c>
      <c r="AO59" s="61" t="str">
        <f>IFERROR(__xludf.DUMMYFUNCTION("""COMPUTED_VALUE"""),"Diplomacy is not measured by a country's size but by its ability to build trust, foster cooperation, and contribute to global peace. I believe Turkey is one of the world's most diplomatically significant countries because it serves as a bridge between Eur"&amp;"ope, Asia, and the Middle East. Its efforts in humanitarian assistance, refugee support, and regional dialogue demonstrate the power of diplomacy in addressing complex global challenges. As someone who aspires to work with refugee and displaced children, "&amp;"I admire Turkey's commitment to combining diplomacy with humanitarian action. Its approach gives motivation to promote cooperation, inclusion, and sustainable solutions.")</f>
        <v>Diplomacy is not measured by a country's size but by its ability to build trust, foster cooperation, and contribute to global peace. I believe Turkey is one of the world's most diplomatically significant countries because it serves as a bridge between Europe, Asia, and the Middle East. Its efforts in humanitarian assistance, refugee support, and regional dialogue demonstrate the power of diplomacy in addressing complex global challenges. As someone who aspires to work with refugee and displaced children, I admire Turkey's commitment to combining diplomacy with humanitarian action. Its approach gives motivation to promote cooperation, inclusion, and sustainable solutions.</v>
      </c>
      <c r="AP59" s="61" t="str">
        <f>IFERROR(__xludf.DUMMYFUNCTION("""COMPUTED_VALUE"""),"I trust that youth play a vital role in diplomacy by turning dialogue into action and ideas into impact. Young people bring fresh perspectives, innovative solutions, and a strong commitment to addressing global challenges. By engaging with diverse communi"&amp;"ties and cultures, youth can promote understanding, cooperation, and positive change beyond national borders.
I strongly think that meaningful change begins with dialogue and collaboration. Through my work in education, community engagement, refugee advoc"&amp;"acy, and sustainability initiatives, I have sought to create positive impact at the grassroots level. As a student at the Asian University for Women, I interact with people from diverse backgrounds and learn the importance of mutual respect and understand"&amp;"ing. Like many youth leaders, I believe that addressing complex global challenges requires conversations that transcend borders, differences, and ideologies, and that every individual has the power to contribute to a more inclusive and sustainable future.")</f>
        <v>I trust that youth play a vital role in diplomacy by turning dialogue into action and ideas into impact. Young people bring fresh perspectives, innovative solutions, and a strong commitment to addressing global challenges. By engaging with diverse communities and cultures, youth can promote understanding, cooperation, and positive change beyond national borders.
I strongly think that meaningful change begins with dialogue and collaboration. Through my work in education, community engagement, refugee advocacy, and sustainability initiatives, I have sought to create positive impact at the grassroots level. As a student at the Asian University for Women, I interact with people from diverse backgrounds and learn the importance of mutual respect and understanding. Like many youth leaders, I believe that addressing complex global challenges requires conversations that transcend borders, differences, and ideologies, and that every individual has the power to contribute to a more inclusive and sustainable future.</v>
      </c>
      <c r="AQ59" s="61" t="str">
        <f>IFERROR(__xludf.DUMMYFUNCTION("""COMPUTED_VALUE"""),"Passion is my inner motivation that gives purpose to my work and keeps me moving toward my goals despite challenges. My passion is ensuring that refugee and displaced children, especially girls, have access to quality education and the opportunity to buil"&amp;"d a better future. This passion inspired me to begin researching the barriers these communities face and to seek evidence-based solutions. By meeting researchers, practitioners, and experts from different backgrounds, I hope to expand my knowledge, publis"&amp;"h meaningful research, and collect data directly from affected communities to advocate for their educational rights. I also want to participate in international programs to better understand how global policies and ideas are developed and how they can be "&amp;"adapted to local contexts. My passion motivates me to keep learning, build confidence, and connect research with practical action so I can contribute to improving education for refugee and displaced children through international organizations and grassro"&amp;"ots initiatives.")</f>
        <v>Passion is my inner motivation that gives purpose to my work and keeps me moving toward my goals despite challenges. My passion is ensuring that refugee and displaced children, especially girls, have access to quality education and the opportunity to build a better future. This passion inspired me to begin researching the barriers these communities face and to seek evidence-based solutions. By meeting researchers, practitioners, and experts from different backgrounds, I hope to expand my knowledge, publish meaningful research, and collect data directly from affected communities to advocate for their educational rights. I also want to participate in international programs to better understand how global policies and ideas are developed and how they can be adapted to local contexts. My passion motivates me to keep learning, build confidence, and connect research with practical action so I can contribute to improving education for refugee and displaced children through international organizations and grassroots initiatives.</v>
      </c>
      <c r="AR59" s="61" t="str">
        <f>IFERROR(__xludf.DUMMYFUNCTION("""COMPUTED_VALUE"""),"Yes, I consider myself a creative person because I enjoy finding practical and community-driven solutions to social challenges. For me, creativity is not only about generating new ideas but also about turning them into meaningful action, even if the impac"&amp;"t begins on a small scale. This mindset inspired me to establish Green Designers, a sustainability initiative that combines creativity with social impact, and to help develop the Summer Initiative Lab, an educational program designed to strengthen English"&amp;" communication, digital literacy, and critical reading skills among marginalized students.
If given the opportunity, I would apply this creativity to public diplomacy by promoting community-led initiatives that bring people from different cultures togethe"&amp;"r through education, sustainability, and youth engagement. I believe diplomacy should not be limited to governments; it should also be shaped by students, educators, local communities, and civil society. By creating spaces where young people collaborate, "&amp;"share experiences, and develop solutions together, we can build mutual understanding and lasting partnerships. I believe this participatory approach transforms dialogue into action and strengthens public diplomacy by creating real impact at the grassroots"&amp;" level.")</f>
        <v>Yes, I consider myself a creative person because I enjoy finding practical and community-driven solutions to social challenges. For me, creativity is not only about generating new ideas but also about turning them into meaningful action, even if the impact begins on a small scale. This mindset inspired me to establish Green Designers, a sustainability initiative that combines creativity with social impact, and to help develop the Summer Initiative Lab, an educational program designed to strengthen English communication, digital literacy, and critical reading skills among marginalized students.
If given the opportunity, I would apply this creativity to public diplomacy by promoting community-led initiatives that bring people from different cultures together through education, sustainability, and youth engagement. I believe diplomacy should not be limited to governments; it should also be shaped by students, educators, local communities, and civil society. By creating spaces where young people collaborate, share experiences, and develop solutions together, we can build mutual understanding and lasting partnerships. I believe this participatory approach transforms dialogue into action and strengthens public diplomacy by creating real impact at the grassroots level.</v>
      </c>
      <c r="AS59" s="61" t="str">
        <f>IFERROR(__xludf.DUMMYFUNCTION("""COMPUTED_VALUE"""),"Yes")</f>
        <v>Yes</v>
      </c>
      <c r="AT59" s="61" t="str">
        <f>IFERROR(__xludf.DUMMYFUNCTION("""COMPUTED_VALUE"""),"Yes")</f>
        <v>Yes</v>
      </c>
      <c r="AU59" s="61" t="str">
        <f>IFERROR(__xludf.DUMMYFUNCTION("""COMPUTED_VALUE"""),"Strategy, Peace &amp; Cultural Diplomacy")</f>
        <v>Strategy, Peace &amp; Cultural Diplomacy</v>
      </c>
      <c r="AV59" s="61" t="str">
        <f>IFERROR(__xludf.DUMMYFUNCTION("""COMPUTED_VALUE"""),"Scholarship portal")</f>
        <v>Scholarship portal</v>
      </c>
      <c r="AW59" s="61" t="str">
        <f>IFERROR(__xludf.DUMMYFUNCTION("""COMPUTED_VALUE"""),"Public Diplomacy in 21st century")</f>
        <v>Public Diplomacy in 21st century</v>
      </c>
      <c r="AX59" s="66" t="str">
        <f>IFERROR(__xludf.DUMMYFUNCTION("""COMPUTED_VALUE"""),"Yes")</f>
        <v>Yes</v>
      </c>
      <c r="AY59" s="66">
        <f>IFERROR(__xludf.DUMMYFUNCTION("""COMPUTED_VALUE"""),15.99)</f>
        <v>15.99</v>
      </c>
      <c r="AZ59" s="61"/>
      <c r="BA59" s="61"/>
      <c r="BB59" s="61"/>
      <c r="BC59" s="61"/>
      <c r="BD59" s="61"/>
      <c r="BE59" s="61"/>
      <c r="BF59" s="61"/>
      <c r="BG59" s="61"/>
      <c r="BH59" s="61"/>
      <c r="BI59" s="61"/>
      <c r="BJ59" s="61"/>
      <c r="BK59" s="61"/>
      <c r="BL59" s="61"/>
      <c r="BM59" s="61"/>
      <c r="BN59" s="61"/>
      <c r="BO59" s="61"/>
      <c r="BP59" s="61"/>
      <c r="BQ59" s="61"/>
      <c r="BR59" s="61"/>
    </row>
    <row r="60" ht="15.75" customHeight="1">
      <c r="A60" s="61" t="str">
        <f>IFERROR(__xludf.DUMMYFUNCTION("""COMPUTED_VALUE"""),"")</f>
        <v/>
      </c>
      <c r="B60" s="62">
        <f>IFERROR(__xludf.DUMMYFUNCTION("""COMPUTED_VALUE"""),74.0)</f>
        <v>74</v>
      </c>
      <c r="C60" s="61" t="str">
        <f>IFERROR(__xludf.DUMMYFUNCTION("""COMPUTED_VALUE"""),"Self")</f>
        <v>Self</v>
      </c>
      <c r="D60" s="63" t="str">
        <f>IFERROR(__xludf.DUMMYFUNCTION("""COMPUTED_VALUE"""),"Submitted")</f>
        <v>Submitted</v>
      </c>
      <c r="E60" s="63">
        <f>IFERROR(__xludf.DUMMYFUNCTION("""COMPUTED_VALUE"""),46199.75902777778)</f>
        <v>46199.75903</v>
      </c>
      <c r="F60" s="61" t="str">
        <f>IFERROR(__xludf.DUMMYFUNCTION("""COMPUTED_VALUE"""),"Germnao Rosa")</f>
        <v>Germnao Rosa</v>
      </c>
      <c r="G60" s="61" t="str">
        <f>IFERROR(__xludf.DUMMYFUNCTION("""COMPUTED_VALUE"""),"Germano Carvalho Rosa")</f>
        <v>Germano Carvalho Rosa</v>
      </c>
      <c r="H60" s="61" t="str">
        <f>IFERROR(__xludf.DUMMYFUNCTION("""COMPUTED_VALUE"""),"gcarros1@upvnet.upv.es")</f>
        <v>gcarros1@upvnet.upv.es</v>
      </c>
      <c r="I60" s="61" t="str">
        <f>IFERROR(__xludf.DUMMYFUNCTION("""COMPUTED_VALUE"""),"germanocrosa@gmail.com")</f>
        <v>germanocrosa@gmail.com</v>
      </c>
      <c r="J60" s="61"/>
      <c r="K60" s="61" t="str">
        <f>IFERROR(__xludf.DUMMYFUNCTION("""COMPUTED_VALUE"""),"Spanish")</f>
        <v>Spanish</v>
      </c>
      <c r="L60" s="64" t="str">
        <f>IFERROR(__xludf.DUMMYFUNCTION("""COMPUTED_VALUE"""),"+34633180352")</f>
        <v>+34633180352</v>
      </c>
      <c r="M60" s="64">
        <f>IFERROR(__xludf.DUMMYFUNCTION("""COMPUTED_VALUE"""),33513.0)</f>
        <v>33513</v>
      </c>
      <c r="N60" s="61" t="str">
        <f>IFERROR(__xludf.DUMMYFUNCTION("""COMPUTED_VALUE"""),"PAY523915")</f>
        <v>PAY523915</v>
      </c>
      <c r="O60" s="61" t="str">
        <f>IFERROR(__xludf.DUMMYFUNCTION("""COMPUTED_VALUE"""),"+34633180562")</f>
        <v>+34633180562</v>
      </c>
      <c r="P60" s="61"/>
      <c r="Q60" s="61"/>
      <c r="R60" s="61"/>
      <c r="S60" s="61" t="str">
        <f>IFERROR(__xludf.DUMMYFUNCTION("""COMPUTED_VALUE"""),"IMG_3911.jpeg")</f>
        <v>IMG_3911.jpeg</v>
      </c>
      <c r="T60" s="61" t="str">
        <f>IFERROR(__xludf.DUMMYFUNCTION("""COMPUTED_VALUE"""),"IMG_2320.jpeg")</f>
        <v>IMG_2320.jpeg</v>
      </c>
      <c r="U60" s="61" t="str">
        <f>IFERROR(__xludf.DUMMYFUNCTION("""COMPUTED_VALUE"""),"PHD")</f>
        <v>PHD</v>
      </c>
      <c r="V60" s="61" t="str">
        <f>IFERROR(__xludf.DUMMYFUNCTION("""COMPUTED_VALUE"""),"ENGINEERING AND INDUSTRIAL PRODUCTION")</f>
        <v>ENGINEERING AND INDUSTRIAL PRODUCTION</v>
      </c>
      <c r="W60" s="61" t="str">
        <f>IFERROR(__xludf.DUMMYFUNCTION("""COMPUTED_VALUE"""),"WASTEWATER TREATMENT")</f>
        <v>WASTEWATER TREATMENT</v>
      </c>
      <c r="X60" s="61" t="str">
        <f>IFERROR(__xludf.DUMMYFUNCTION("""COMPUTED_VALUE"""),"UNIVERSIDAD POLITECNICA DE VALENCIA")</f>
        <v>UNIVERSIDAD POLITECNICA DE VALENCIA</v>
      </c>
      <c r="Y60" s="61" t="str">
        <f>IFERROR(__xludf.DUMMYFUNCTION("""COMPUTED_VALUE"""),"Yes")</f>
        <v>Yes</v>
      </c>
      <c r="Z60" s="61" t="str">
        <f>IFERROR(__xludf.DUMMYFUNCTION("""COMPUTED_VALUE"""),"SPAIN")</f>
        <v>SPAIN</v>
      </c>
      <c r="AA60" s="61" t="str">
        <f>IFERROR(__xludf.DUMMYFUNCTION("""COMPUTED_VALUE"""),"Yes")</f>
        <v>Yes</v>
      </c>
      <c r="AB60" s="61" t="str">
        <f>IFERROR(__xludf.DUMMYFUNCTION("""COMPUTED_VALUE"""),"UNIVERSITY OF CALIFORNIA, BERKELEY, (UC BERKELEY)")</f>
        <v>UNIVERSITY OF CALIFORNIA, BERKELEY, (UC BERKELEY)</v>
      </c>
      <c r="AC60" s="61" t="str">
        <f>IFERROR(__xludf.DUMMYFUNCTION("""COMPUTED_VALUE"""),"YES, I'VE BEEN WORKING ON IT LAST 10 YEARS")</f>
        <v>YES, I'VE BEEN WORKING ON IT LAST 10 YEARS</v>
      </c>
      <c r="AD60" s="61" t="str">
        <f>IFERROR(__xludf.DUMMYFUNCTION("""COMPUTED_VALUE"""),"AISEC")</f>
        <v>AISEC</v>
      </c>
      <c r="AE60" s="61"/>
      <c r="AF60" s="61" t="str">
        <f>IFERROR(__xludf.DUMMYFUNCTION("""COMPUTED_VALUE"""),"VOLUNTEER")</f>
        <v>VOLUNTEER</v>
      </c>
      <c r="AG60" s="61"/>
      <c r="AH60" s="61" t="str">
        <f>IFERROR(__xludf.DUMMYFUNCTION("""COMPUTED_VALUE"""),"Yes")</f>
        <v>Yes</v>
      </c>
      <c r="AI60" s="61" t="str">
        <f>IFERROR(__xludf.DUMMYFUNCTION("""COMPUTED_VALUE"""),"RESEARCHER")</f>
        <v>RESEARCHER</v>
      </c>
      <c r="AJ60" s="61" t="str">
        <f>IFERROR(__xludf.DUMMYFUNCTION("""COMPUTED_VALUE"""),"NO")</f>
        <v>NO</v>
      </c>
      <c r="AK60" s="61"/>
      <c r="AL60" s="61" t="str">
        <f>IFERROR(__xludf.DUMMYFUNCTION("""COMPUTED_VALUE"""),"Research and analysis (PhD, peer-reviewed author), technology and innovation policy, project management, and stakeholder engagement across government, academia and industry. Comfortable bridging technical and policy work. Fluent in English, Spanish and Po"&amp;"rtuguese.")</f>
        <v>Research and analysis (PhD, peer-reviewed author), technology and innovation policy, project management, and stakeholder engagement across government, academia and industry. Comfortable bridging technical and policy work. Fluent in English, Spanish and Portuguese.</v>
      </c>
      <c r="AM60" s="61" t="str">
        <f>IFERROR(__xludf.DUMMYFUNCTION("""COMPUTED_VALUE"""),"CV_Germano_Rosa_GovAI.pdf")</f>
        <v>CV_Germano_Rosa_GovAI.pdf</v>
      </c>
      <c r="AN60" s="61" t="str">
        <f>IFERROR(__xludf.DUMMYFUNCTION("""COMPUTED_VALUE"""),"Yes, and I believe it happens by solving real problems, not through grand declarations. Troubled by how polluted water harms communities that can least afford it, I led the development of ElectroClean, an electrochemical solution that breaks down emerging"&amp;" contaminants conventional treatment leaves behind. I took it from an idea to a validated, award-winning technology, structuring the science and bringing academic, public and private partners together around it. Earlier, in Brazil, I built an open-innovat"&amp;"ion program connecting 75 municipalities and mobilising over 300 people around local challenges. Each began as something I chose to start. What drives me is turning problems I cannot ignore into impact.")</f>
        <v>Yes, and I believe it happens by solving real problems, not through grand declarations. Troubled by how polluted water harms communities that can least afford it, I led the development of ElectroClean, an electrochemical solution that breaks down emerging contaminants conventional treatment leaves behind. I took it from an idea to a validated, award-winning technology, structuring the science and bringing academic, public and private partners together around it. Earlier, in Brazil, I built an open-innovation program connecting 75 municipalities and mobilising over 300 people around local challenges. Each began as something I chose to start. What drives me is turning problems I cannot ignore into impact.</v>
      </c>
      <c r="AO60" s="61" t="str">
        <f>IFERROR(__xludf.DUMMYFUNCTION("""COMPUTED_VALUE"""),"I can say where I was born, Brazil. Few countries are so consistently able to talk to everyone. It sits inside the BRICS alongside China and Russia, yet keeps deep ties with the United States and Europe, and leads in forums like the G20 and COP. Rather th"&amp;"an choosing sides, Brazil has built influence as a bridge, a voice for the Global South that the major powers still need to engage. Its diplomacy rests on persuasion and convening rather than military weight, which is the essence of soft power. As someone"&amp;" who worked inside Brazilian public institutions, I have seen how this non-aligned, dialogue-first posture shapes its global role.")</f>
        <v>I can say where I was born, Brazil. Few countries are so consistently able to talk to everyone. It sits inside the BRICS alongside China and Russia, yet keeps deep ties with the United States and Europe, and leads in forums like the G20 and COP. Rather than choosing sides, Brazil has built influence as a bridge, a voice for the Global South that the major powers still need to engage. Its diplomacy rests on persuasion and convening rather than military weight, which is the essence of soft power. As someone who worked inside Brazilian public institutions, I have seen how this non-aligned, dialogue-first posture shapes its global role.</v>
      </c>
      <c r="AP60" s="61" t="str">
        <f>IFERROR(__xludf.DUMMYFUNCTION("""COMPUTED_VALUE"""),"Youth are not just future diplomats waiting their turn. They are already shaping how nations understand each other, through technology, culture, research and the networks they build across borders. Young people move between worlds easily, academic, profes"&amp;"sional, digital, national, which makes them natural translators between communities that rarely speak directly. In a world where mistrust spreads quickly, that ability to build genuine human connection is itself a diplomatic act.
Public diplomacy, as I un"&amp;"derstand it, is precisely this. It is influence built not through governments negotiating behind closed doors, but through people, ideas, and relationships that shape how societies see one another. It is the work of persuasion, listening and trust, rather"&amp;" than coercion.
I relate to it directly. My career has been spent connecting people who do not usually work together, government, universities, startups, companies, across Brazil, Spain and the United States. Bringing those actors around a shared goal, de"&amp;"spite different languages and incentives, is public diplomacy on a smaller scale. It taught me that lasting influence comes from understanding the other side, not overpowering it. That is why this field draws me, and why I want to practise it on a larger,"&amp;" international stage.")</f>
        <v>Youth are not just future diplomats waiting their turn. They are already shaping how nations understand each other, through technology, culture, research and the networks they build across borders. Young people move between worlds easily, academic, professional, digital, national, which makes them natural translators between communities that rarely speak directly. In a world where mistrust spreads quickly, that ability to build genuine human connection is itself a diplomatic act.
Public diplomacy, as I understand it, is precisely this. It is influence built not through governments negotiating behind closed doors, but through people, ideas, and relationships that shape how societies see one another. It is the work of persuasion, listening and trust, rather than coercion.
I relate to it directly. My career has been spent connecting people who do not usually work together, government, universities, startups, companies, across Brazil, Spain and the United States. Bringing those actors around a shared goal, despite different languages and incentives, is public diplomacy on a smaller scale. It taught me that lasting influence comes from understanding the other side, not overpowering it. That is why this field draws me, and why I want to practise it on a larger, international stage.</v>
      </c>
      <c r="AQ60" s="61" t="str">
        <f>IFERROR(__xludf.DUMMYFUNCTION("""COMPUTED_VALUE"""),"Entendido — más personal y emocional, menos conectado a tus proyectos, y con un primer párrafo más fuerte. Aquí va una versión que arranca distinto y respira más pasión genuina (~149 palabras):
Passion, to me, is the fire that refuses to go out. It is wh"&amp;"at wakes you up still thinking about a problem, what keeps you going when logic says stop, what makes you care about something far bigger than yourself. It is not a feeling that comes and goes. It is a quiet, stubborn force that gives everything you do a "&amp;"reason.
My passion lives in two places that have become one. I care, deeply, about protecting our environment and the people who suffer most when we fail it. And I have come to love the art of bringing people together, across borders, cultures and interes"&amp;"ts, to actually make change happen.
Because a great idea means nothing if it stays trapped in one mind or one lab. Passion is what carries it out into the world. It turns my failures into fuel, and when others feel it, they move with me.")</f>
        <v>Entendido — más personal y emocional, menos conectado a tus proyectos, y con un primer párrafo más fuerte. Aquí va una versión que arranca distinto y respira más pasión genuina (~149 palabras):
Passion, to me, is the fire that refuses to go out. It is what wakes you up still thinking about a problem, what keeps you going when logic says stop, what makes you care about something far bigger than yourself. It is not a feeling that comes and goes. It is a quiet, stubborn force that gives everything you do a reason.
My passion lives in two places that have become one. I care, deeply, about protecting our environment and the people who suffer most when we fail it. And I have come to love the art of bringing people together, across borders, cultures and interests, to actually make change happen.
Because a great idea means nothing if it stays trapped in one mind or one lab. Passion is what carries it out into the world. It turns my failures into fuel, and when others feel it, they move with me.</v>
      </c>
      <c r="AR60" s="61" t="str">
        <f>IFERROR(__xludf.DUMMYFUNCTION("""COMPUTED_VALUE"""),"Yes, deeply. Creativity, for me, is the ability to solve problems others see as stuck, whether technical or human. I love both kinds equally. I have designed award-winning technical solutions, recognised with several innovation prizes, and I have found ju"&amp;"st as much creativity in diplomacy and negotiation, in reading a room and finding the path that lets very different people say yes.
That second kind is where public diplomacy lives. In Brazil, I spent years bringing together actors who rarely cooperate, g"&amp;"overnment, established companies and young startups, each with different languages, incentives and fears. Making them work toward a shared goal is not a mechanical task. It is a creative one. It means understanding every nuance and every side, then design"&amp;"ing a way forward where everyone sees their interest reflected.
That is exactly how creativity becomes effective public diplomacy. A good strategy is not about pushing one position. It is about imagining an outcome others cannot yet see, and building the "&amp;"trust and the narrative that carry people toward it. My passion is dialogue, truly understanding people in order to meet shared objectives and improve their quality of life. Creativity is what turns that understanding into solutions the world can actually"&amp;" use.")</f>
        <v>Yes, deeply. Creativity, for me, is the ability to solve problems others see as stuck, whether technical or human. I love both kinds equally. I have designed award-winning technical solutions, recognised with several innovation prizes, and I have found just as much creativity in diplomacy and negotiation, in reading a room and finding the path that lets very different people say yes.
That second kind is where public diplomacy lives. In Brazil, I spent years bringing together actors who rarely cooperate, government, established companies and young startups, each with different languages, incentives and fears. Making them work toward a shared goal is not a mechanical task. It is a creative one. It means understanding every nuance and every side, then designing a way forward where everyone sees their interest reflected.
That is exactly how creativity becomes effective public diplomacy. A good strategy is not about pushing one position. It is about imagining an outcome others cannot yet see, and building the trust and the narrative that carry people toward it. My passion is dialogue, truly understanding people in order to meet shared objectives and improve their quality of life. Creativity is what turns that understanding into solutions the world can actually use.</v>
      </c>
      <c r="AS60" s="61" t="str">
        <f>IFERROR(__xludf.DUMMYFUNCTION("""COMPUTED_VALUE"""),"Yes")</f>
        <v>Yes</v>
      </c>
      <c r="AT60" s="61" t="str">
        <f>IFERROR(__xludf.DUMMYFUNCTION("""COMPUTED_VALUE"""),"Yes")</f>
        <v>Yes</v>
      </c>
      <c r="AU60" s="61" t="str">
        <f>IFERROR(__xludf.DUMMYFUNCTION("""COMPUTED_VALUE"""),"Global Politics, Diplomacy &amp; Identities")</f>
        <v>Global Politics, Diplomacy &amp; Identities</v>
      </c>
      <c r="AV60" s="61" t="str">
        <f>IFERROR(__xludf.DUMMYFUNCTION("""COMPUTED_VALUE"""),"google")</f>
        <v>google</v>
      </c>
      <c r="AW60" s="61" t="str">
        <f>IFERROR(__xludf.DUMMYFUNCTION("""COMPUTED_VALUE"""),"global politics")</f>
        <v>global politics</v>
      </c>
      <c r="AX60" s="66" t="str">
        <f>IFERROR(__xludf.DUMMYFUNCTION("""COMPUTED_VALUE"""),"Yes")</f>
        <v>Yes</v>
      </c>
      <c r="AY60" s="66">
        <f>IFERROR(__xludf.DUMMYFUNCTION("""COMPUTED_VALUE"""),15.99)</f>
        <v>15.99</v>
      </c>
      <c r="AZ60" s="61"/>
      <c r="BA60" s="61"/>
      <c r="BB60" s="61"/>
      <c r="BC60" s="61"/>
      <c r="BD60" s="61"/>
      <c r="BE60" s="61"/>
      <c r="BF60" s="61"/>
      <c r="BG60" s="61"/>
      <c r="BH60" s="61"/>
      <c r="BI60" s="61"/>
      <c r="BJ60" s="61"/>
      <c r="BK60" s="61"/>
      <c r="BL60" s="61"/>
      <c r="BM60" s="61"/>
      <c r="BN60" s="61"/>
      <c r="BO60" s="61"/>
      <c r="BP60" s="61"/>
      <c r="BQ60" s="61"/>
      <c r="BR60" s="61"/>
    </row>
    <row r="61" ht="15.75" customHeight="1">
      <c r="A61" s="61" t="str">
        <f>IFERROR(__xludf.DUMMYFUNCTION("""COMPUTED_VALUE"""),"Partial")</f>
        <v>Partial</v>
      </c>
      <c r="B61" s="62">
        <f>IFERROR(__xludf.DUMMYFUNCTION("""COMPUTED_VALUE"""),75.0)</f>
        <v>75</v>
      </c>
      <c r="C61" s="61" t="str">
        <f>IFERROR(__xludf.DUMMYFUNCTION("""COMPUTED_VALUE"""),"Partial")</f>
        <v>Partial</v>
      </c>
      <c r="D61" s="63" t="str">
        <f>IFERROR(__xludf.DUMMYFUNCTION("""COMPUTED_VALUE"""),"Submitted")</f>
        <v>Submitted</v>
      </c>
      <c r="E61" s="63">
        <f>IFERROR(__xludf.DUMMYFUNCTION("""COMPUTED_VALUE"""),46199.98541666667)</f>
        <v>46199.98542</v>
      </c>
      <c r="F61" s="61" t="str">
        <f>IFERROR(__xludf.DUMMYFUNCTION("""COMPUTED_VALUE"""),"Weldemariyam Simret Yaynu")</f>
        <v>Weldemariyam Simret Yaynu</v>
      </c>
      <c r="G61" s="61" t="str">
        <f>IFERROR(__xludf.DUMMYFUNCTION("""COMPUTED_VALUE"""),"Weldemariyam Simret Yaynu")</f>
        <v>Weldemariyam Simret Yaynu</v>
      </c>
      <c r="H61" s="61" t="str">
        <f>IFERROR(__xludf.DUMMYFUNCTION("""COMPUTED_VALUE"""),"simyu3262@gmail.com")</f>
        <v>simyu3262@gmail.com</v>
      </c>
      <c r="I61" s="61" t="str">
        <f>IFERROR(__xludf.DUMMYFUNCTION("""COMPUTED_VALUE"""),"yaynusimret@gmail.com")</f>
        <v>yaynusimret@gmail.com</v>
      </c>
      <c r="J61" s="61"/>
      <c r="K61" s="61" t="str">
        <f>IFERROR(__xludf.DUMMYFUNCTION("""COMPUTED_VALUE"""),"Ethiopian")</f>
        <v>Ethiopian</v>
      </c>
      <c r="L61" s="64" t="str">
        <f>IFERROR(__xludf.DUMMYFUNCTION("""COMPUTED_VALUE"""),"+60188702695")</f>
        <v>+60188702695</v>
      </c>
      <c r="M61" s="64">
        <f>IFERROR(__xludf.DUMMYFUNCTION("""COMPUTED_VALUE"""),38748.0)</f>
        <v>38748</v>
      </c>
      <c r="N61" s="61" t="str">
        <f>IFERROR(__xludf.DUMMYFUNCTION("""COMPUTED_VALUE"""),"EP9152144")</f>
        <v>EP9152144</v>
      </c>
      <c r="O61" s="61" t="str">
        <f>IFERROR(__xludf.DUMMYFUNCTION("""COMPUTED_VALUE"""),"+251911774676")</f>
        <v>+251911774676</v>
      </c>
      <c r="P61" s="61"/>
      <c r="Q61" s="61"/>
      <c r="R61" s="61"/>
      <c r="S61" s="61" t="str">
        <f>IFERROR(__xludf.DUMMYFUNCTION("""COMPUTED_VALUE"""),"passport png.jpeg")</f>
        <v>passport png.jpeg</v>
      </c>
      <c r="T61" s="61" t="str">
        <f>IFERROR(__xludf.DUMMYFUNCTION("""COMPUTED_VALUE"""),"pic.jpeg")</f>
        <v>pic.jpeg</v>
      </c>
      <c r="U61" s="61" t="str">
        <f>IFERROR(__xludf.DUMMYFUNCTION("""COMPUTED_VALUE"""),"Bachelors")</f>
        <v>Bachelors</v>
      </c>
      <c r="V61" s="61" t="str">
        <f>IFERROR(__xludf.DUMMYFUNCTION("""COMPUTED_VALUE"""),"Computer science")</f>
        <v>Computer science</v>
      </c>
      <c r="W61" s="61" t="str">
        <f>IFERROR(__xludf.DUMMYFUNCTION("""COMPUTED_VALUE"""),"Data science")</f>
        <v>Data science</v>
      </c>
      <c r="X61" s="61" t="str">
        <f>IFERROR(__xludf.DUMMYFUNCTION("""COMPUTED_VALUE"""),"Multimedia university")</f>
        <v>Multimedia university</v>
      </c>
      <c r="Y61" s="61" t="str">
        <f>IFERROR(__xludf.DUMMYFUNCTION("""COMPUTED_VALUE"""),"Yes")</f>
        <v>Yes</v>
      </c>
      <c r="Z61" s="61"/>
      <c r="AA61" s="61" t="str">
        <f>IFERROR(__xludf.DUMMYFUNCTION("""COMPUTED_VALUE"""),"No")</f>
        <v>No</v>
      </c>
      <c r="AB61" s="61"/>
      <c r="AC61" s="61"/>
      <c r="AD61" s="61" t="str">
        <f>IFERROR(__xludf.DUMMYFUNCTION("""COMPUTED_VALUE"""),"Yes. I volunteered with the Pharo Foundation through a school community programme.")</f>
        <v>Yes. I volunteered with the Pharo Foundation through a school community programme.</v>
      </c>
      <c r="AE61" s="65" t="str">
        <f>IFERROR(__xludf.DUMMYFUNCTION("""COMPUTED_VALUE"""),"https://www.pharofoundation.org/")</f>
        <v>https://www.pharofoundation.org/</v>
      </c>
      <c r="AF61" s="61" t="str">
        <f>IFERROR(__xludf.DUMMYFUNCTION("""COMPUTED_VALUE"""),"volunteer")</f>
        <v>volunteer</v>
      </c>
      <c r="AG61" s="61" t="str">
        <f>IFERROR(__xludf.DUMMYFUNCTION("""COMPUTED_VALUE"""),"2")</f>
        <v>2</v>
      </c>
      <c r="AH61" s="61" t="str">
        <f>IFERROR(__xludf.DUMMYFUNCTION("""COMPUTED_VALUE"""),"No")</f>
        <v>No</v>
      </c>
      <c r="AI61" s="61"/>
      <c r="AJ61" s="61"/>
      <c r="AK61" s="61"/>
      <c r="AL61" s="61"/>
      <c r="AM61" s="61" t="str">
        <f>IFERROR(__xludf.DUMMYFUNCTION("""COMPUTED_VALUE"""),"Cv.PDF}.pdf")</f>
        <v>Cv.PDF}.pdf</v>
      </c>
      <c r="AN61" s="61" t="str">
        <f>IFERROR(__xludf.DUMMYFUNCTION("""COMPUTED_VALUE"""),"What makes the world warmer, fairer, or harsher is its people. I believe every action can bring out the best or worst in society and shape the world around us. During a conflict in my country, I volunteered in programmes supporting displaced people, even "&amp;"when their side had raised weapons against my own. They, too, had lost homes and buried people they loved, and grief has no nationality. I could not stop the conflict, but I could offer food, shelter, understanding, and kindness. I supported girls and boy"&amp;"s equally through academic help and spoke up whenever I witnessed injustice.")</f>
        <v>What makes the world warmer, fairer, or harsher is its people. I believe every action can bring out the best or worst in society and shape the world around us. During a conflict in my country, I volunteered in programmes supporting displaced people, even when their side had raised weapons against my own. They, too, had lost homes and buried people they loved, and grief has no nationality. I could not stop the conflict, but I could offer food, shelter, understanding, and kindness. I supported girls and boys equally through academic help and spoke up whenever I witnessed injustice.</v>
      </c>
      <c r="AO61" s="61" t="str">
        <f>IFERROR(__xludf.DUMMYFUNCTION("""COMPUTED_VALUE"""),"I would say Switzerland is one of the most diplomatically significant countries in the world. Despite its small size, it has earned global trust through neutrality, stability, and a strong commitment to peaceful communication. Geneva is home to many inter"&amp;"national organisations and often serves as a meeting place for negotiations and humanitarian discussions. Switzerland also helps countries communicate when formal diplomatic relations are difficult or broken. What makes it significant to me is that its in"&amp;"fluence does not come from military power, but from trust and credibility. It shows that calm communication can sometimes achieve more than force ever could.")</f>
        <v>I would say Switzerland is one of the most diplomatically significant countries in the world. Despite its small size, it has earned global trust through neutrality, stability, and a strong commitment to peaceful communication. Geneva is home to many international organisations and often serves as a meeting place for negotiations and humanitarian discussions. Switzerland also helps countries communicate when formal diplomatic relations are difficult or broken. What makes it significant to me is that its influence does not come from military power, but from trust and credibility. It shows that calm communication can sometimes achieve more than force ever could.</v>
      </c>
      <c r="AP61" s="61" t="str">
        <f>IFERROR(__xludf.DUMMYFUNCTION("""COMPUTED_VALUE"""),"Some of the strongest bridges between nations are not built in government halls. They begin when a young person chooses curiosity over judgment, conversation over silence, and the courage to question rather than be manipulated into conflict by those who e"&amp;"xploit division for political gain. Youth bring energy, creativity, courage, and fresh perspectives to diplomacy. We are also highly connected through social media, which can be a powerful tool for public diplomacy. Through these platforms, we can challen"&amp;"ge stereotypes, encourage peaceful dialogue, and speak up for global issues such as climate change, education, equality, and peace. Our voices can cross borders within seconds and reach people who may never be included in formal diplomatic discussions. Ho"&amp;"wever, with that power comes responsibility. We must communicate respectfully, verify information, and think carefully before sharing anything online. 
As an international student, public diplomacy is not an abstract idea to me. I experience it through or"&amp;"dinary moments like a conversation after class, a shared meal, or a question about someone’s traditions. Each interaction gives me a chance to share my culture while opening a window into another person’s world. These moments may seem small, but they can "&amp;"quietly challenge prejudice and reduce misunderstanding.")</f>
        <v>Some of the strongest bridges between nations are not built in government halls. They begin when a young person chooses curiosity over judgment, conversation over silence, and the courage to question rather than be manipulated into conflict by those who exploit division for political gain. Youth bring energy, creativity, courage, and fresh perspectives to diplomacy. We are also highly connected through social media, which can be a powerful tool for public diplomacy. Through these platforms, we can challenge stereotypes, encourage peaceful dialogue, and speak up for global issues such as climate change, education, equality, and peace. Our voices can cross borders within seconds and reach people who may never be included in formal diplomatic discussions. However, with that power comes responsibility. We must communicate respectfully, verify information, and think carefully before sharing anything online. 
As an international student, public diplomacy is not an abstract idea to me. I experience it through ordinary moments like a conversation after class, a shared meal, or a question about someone’s traditions. Each interaction gives me a chance to share my culture while opening a window into another person’s world. These moments may seem small, but they can quietly challenge prejudice and reduce misunderstanding.</v>
      </c>
      <c r="AQ61" s="61" t="str">
        <f>IFERROR(__xludf.DUMMYFUNCTION("""COMPUTED_VALUE"""),"Passion is not only about what we are willing to sacrifice for, but also about what makes us feel alive while doing so. It helps me achieve my goals because it lifts my spirit when I feel close to breaking from burnout. Passion gives me the strength to pa"&amp;"use, recover, dust myself off, and rise to try again. It is not simply about enjoying something. It means caring enough to invest my time, effort, and patience so that I can grow and improve. I am passionate about learning, meeting people from different b"&amp;"ackgrounds, diplomacy, and technology. These interests encourage me to understand different perspectives, connect with others, and find ways to contribute to my community. I know that nothing comes easily, which is why I believe passion must be supported "&amp;"by discipline, courage, and action, especially when giving up feels much easier.")</f>
        <v>Passion is not only about what we are willing to sacrifice for, but also about what makes us feel alive while doing so. It helps me achieve my goals because it lifts my spirit when I feel close to breaking from burnout. Passion gives me the strength to pause, recover, dust myself off, and rise to try again. It is not simply about enjoying something. It means caring enough to invest my time, effort, and patience so that I can grow and improve. I am passionate about learning, meeting people from different backgrounds, diplomacy, and technology. These interests encourage me to understand different perspectives, connect with others, and find ways to contribute to my community. I know that nothing comes easily, which is why I believe passion must be supported by discipline, courage, and action, especially when giving up feels much easier.</v>
      </c>
      <c r="AR61" s="61" t="str">
        <f>IFERROR(__xludf.DUMMYFUNCTION("""COMPUTED_VALUE"""),"I consider myself a creative person because I enjoy finding engaging ways to express ideas. My creativity is reflected in event planning, communication, and technology. My university is home to many international students, so a Cultural Expo is organised "&amp;"every year. This year, I had the opportunity to serve as one of the committee members. From this experience, I realised that public diplomacy does not always have to be formal or distant. It can happen through moments that give people a reason to meet and"&amp;" understand one another.
During the event, each country had a booth where students introduced their culture through traditional food, clothing, and objects. However, I wanted visitors to do more than walk past and observe. I wanted them to step into the e"&amp;"xperience. For that reason, I created photo corners using traditional clothing and cultural decorations. What began as a small idea soon became one of the liveliest spaces at the event. People gathered, laughed, took photographs, asked questions, and exch"&amp;"anged stories.
I would strengthen this strategy through social media videos, student ambassadors, and workshops. A speech may explain a culture, but a creative experience allows people to feel it and remember the people behind it.")</f>
        <v>I consider myself a creative person because I enjoy finding engaging ways to express ideas. My creativity is reflected in event planning, communication, and technology. My university is home to many international students, so a Cultural Expo is organised every year. This year, I had the opportunity to serve as one of the committee members. From this experience, I realised that public diplomacy does not always have to be formal or distant. It can happen through moments that give people a reason to meet and understand one another.
During the event, each country had a booth where students introduced their culture through traditional food, clothing, and objects. However, I wanted visitors to do more than walk past and observe. I wanted them to step into the experience. For that reason, I created photo corners using traditional clothing and cultural decorations. What began as a small idea soon became one of the liveliest spaces at the event. People gathered, laughed, took photographs, asked questions, and exchanged stories.
I would strengthen this strategy through social media videos, student ambassadors, and workshops. A speech may explain a culture, but a creative experience allows people to feel it and remember the people behind it.</v>
      </c>
      <c r="AS61" s="61" t="str">
        <f>IFERROR(__xludf.DUMMYFUNCTION("""COMPUTED_VALUE"""),"Yes")</f>
        <v>Yes</v>
      </c>
      <c r="AT61" s="61" t="str">
        <f>IFERROR(__xludf.DUMMYFUNCTION("""COMPUTED_VALUE"""),"Yes")</f>
        <v>Yes</v>
      </c>
      <c r="AU61" s="61" t="str">
        <f>IFERROR(__xludf.DUMMYFUNCTION("""COMPUTED_VALUE"""),"International Public Service Relations")</f>
        <v>International Public Service Relations</v>
      </c>
      <c r="AV61" s="61" t="str">
        <f>IFERROR(__xludf.DUMMYFUNCTION("""COMPUTED_VALUE"""),"Global Opportunity website")</f>
        <v>Global Opportunity website</v>
      </c>
      <c r="AW61" s="61"/>
      <c r="AX61" s="66" t="str">
        <f>IFERROR(__xludf.DUMMYFUNCTION("""COMPUTED_VALUE"""),"Yes")</f>
        <v>Yes</v>
      </c>
      <c r="AY61" s="66">
        <f>IFERROR(__xludf.DUMMYFUNCTION("""COMPUTED_VALUE"""),15.99)</f>
        <v>15.99</v>
      </c>
      <c r="AZ61" s="61"/>
      <c r="BA61" s="61"/>
      <c r="BB61" s="61"/>
      <c r="BC61" s="61"/>
      <c r="BD61" s="61"/>
      <c r="BE61" s="61"/>
      <c r="BF61" s="61"/>
      <c r="BG61" s="61"/>
      <c r="BH61" s="61"/>
      <c r="BI61" s="61"/>
      <c r="BJ61" s="61"/>
      <c r="BK61" s="61"/>
      <c r="BL61" s="61"/>
      <c r="BM61" s="61"/>
      <c r="BN61" s="61"/>
      <c r="BO61" s="61"/>
      <c r="BP61" s="61"/>
      <c r="BQ61" s="61"/>
      <c r="BR61" s="61"/>
    </row>
    <row r="62" ht="15.75" customHeight="1">
      <c r="A62" s="61" t="str">
        <f>IFERROR(__xludf.DUMMYFUNCTION("""COMPUTED_VALUE"""),"")</f>
        <v/>
      </c>
      <c r="B62" s="62">
        <f>IFERROR(__xludf.DUMMYFUNCTION("""COMPUTED_VALUE"""),76.0)</f>
        <v>76</v>
      </c>
      <c r="C62" s="61" t="str">
        <f>IFERROR(__xludf.DUMMYFUNCTION("""COMPUTED_VALUE"""),"Self")</f>
        <v>Self</v>
      </c>
      <c r="D62" s="63" t="str">
        <f>IFERROR(__xludf.DUMMYFUNCTION("""COMPUTED_VALUE"""),"Submitted")</f>
        <v>Submitted</v>
      </c>
      <c r="E62" s="63">
        <f>IFERROR(__xludf.DUMMYFUNCTION("""COMPUTED_VALUE"""),46200.01458333333)</f>
        <v>46200.01458</v>
      </c>
      <c r="F62" s="61" t="str">
        <f>IFERROR(__xludf.DUMMYFUNCTION("""COMPUTED_VALUE"""),"zinah alkinani")</f>
        <v>zinah alkinani</v>
      </c>
      <c r="G62" s="61" t="str">
        <f>IFERROR(__xludf.DUMMYFUNCTION("""COMPUTED_VALUE"""),"Zinah saleh hadi alkinani")</f>
        <v>Zinah saleh hadi alkinani</v>
      </c>
      <c r="H62" s="61" t="str">
        <f>IFERROR(__xludf.DUMMYFUNCTION("""COMPUTED_VALUE"""),"zena.iq89@gmail.com")</f>
        <v>zena.iq89@gmail.com</v>
      </c>
      <c r="I62" s="61" t="str">
        <f>IFERROR(__xludf.DUMMYFUNCTION("""COMPUTED_VALUE"""),"zena_iq89@yahoo.com")</f>
        <v>zena_iq89@yahoo.com</v>
      </c>
      <c r="J62" s="61" t="str">
        <f>IFERROR(__xludf.DUMMYFUNCTION("""COMPUTED_VALUE"""),"Baghdad, Rusafa, Shaab city, Iraq")</f>
        <v>Baghdad, Rusafa, Shaab city, Iraq</v>
      </c>
      <c r="K62" s="61" t="str">
        <f>IFERROR(__xludf.DUMMYFUNCTION("""COMPUTED_VALUE"""),"Iraqi")</f>
        <v>Iraqi</v>
      </c>
      <c r="L62" s="64" t="str">
        <f>IFERROR(__xludf.DUMMYFUNCTION("""COMPUTED_VALUE"""),"+9647723248936")</f>
        <v>+9647723248936</v>
      </c>
      <c r="M62" s="64">
        <f>IFERROR(__xludf.DUMMYFUNCTION("""COMPUTED_VALUE"""),32715.0)</f>
        <v>32715</v>
      </c>
      <c r="N62" s="61" t="str">
        <f>IFERROR(__xludf.DUMMYFUNCTION("""COMPUTED_VALUE"""),"A20661577")</f>
        <v>A20661577</v>
      </c>
      <c r="O62" s="61" t="str">
        <f>IFERROR(__xludf.DUMMYFUNCTION("""COMPUTED_VALUE"""),"+9647737513688")</f>
        <v>+9647737513688</v>
      </c>
      <c r="P62" s="65" t="str">
        <f>IFERROR(__xludf.DUMMYFUNCTION("""COMPUTED_VALUE"""),"https://iq.linkedin.com/in/zinahsaleh")</f>
        <v>https://iq.linkedin.com/in/zinahsaleh</v>
      </c>
      <c r="Q62" s="61"/>
      <c r="R62" s="61"/>
      <c r="S62" s="61" t="str">
        <f>IFERROR(__xludf.DUMMYFUNCTION("""COMPUTED_VALUE"""),"zinah.jpg")</f>
        <v>zinah.jpg</v>
      </c>
      <c r="T62" s="61" t="str">
        <f>IFERROR(__xludf.DUMMYFUNCTION("""COMPUTED_VALUE"""),"1775726147877.png")</f>
        <v>1775726147877.png</v>
      </c>
      <c r="U62" s="61" t="str">
        <f>IFERROR(__xludf.DUMMYFUNCTION("""COMPUTED_VALUE"""),"Bachelor")</f>
        <v>Bachelor</v>
      </c>
      <c r="V62" s="61" t="str">
        <f>IFERROR(__xludf.DUMMYFUNCTION("""COMPUTED_VALUE"""),"Business adminstration")</f>
        <v>Business adminstration</v>
      </c>
      <c r="W62" s="61" t="str">
        <f>IFERROR(__xludf.DUMMYFUNCTION("""COMPUTED_VALUE"""),"Entrepreneurship")</f>
        <v>Entrepreneurship</v>
      </c>
      <c r="X62" s="61" t="str">
        <f>IFERROR(__xludf.DUMMYFUNCTION("""COMPUTED_VALUE"""),"Alrafidain")</f>
        <v>Alrafidain</v>
      </c>
      <c r="Y62" s="61" t="str">
        <f>IFERROR(__xludf.DUMMYFUNCTION("""COMPUTED_VALUE"""),"No")</f>
        <v>No</v>
      </c>
      <c r="Z62" s="61" t="str">
        <f>IFERROR(__xludf.DUMMYFUNCTION("""COMPUTED_VALUE"""),"Iraq")</f>
        <v>Iraq</v>
      </c>
      <c r="AA62" s="61" t="str">
        <f>IFERROR(__xludf.DUMMYFUNCTION("""COMPUTED_VALUE"""),"No")</f>
        <v>No</v>
      </c>
      <c r="AB62" s="61"/>
      <c r="AC62" s="61"/>
      <c r="AD62" s="61" t="str">
        <f>IFERROR(__xludf.DUMMYFUNCTION("""COMPUTED_VALUE"""),"no")</f>
        <v>no</v>
      </c>
      <c r="AE62" s="61"/>
      <c r="AF62" s="61"/>
      <c r="AG62" s="61"/>
      <c r="AH62" s="61" t="str">
        <f>IFERROR(__xludf.DUMMYFUNCTION("""COMPUTED_VALUE"""),"Yes")</f>
        <v>Yes</v>
      </c>
      <c r="AI62" s="61" t="str">
        <f>IFERROR(__xludf.DUMMYFUNCTION("""COMPUTED_VALUE"""),"Government relations officer")</f>
        <v>Government relations officer</v>
      </c>
      <c r="AJ62" s="61" t="str">
        <f>IFERROR(__xludf.DUMMYFUNCTION("""COMPUTED_VALUE"""),"no")</f>
        <v>no</v>
      </c>
      <c r="AK62" s="61"/>
      <c r="AL62" s="61" t="str">
        <f>IFERROR(__xludf.DUMMYFUNCTION("""COMPUTED_VALUE"""),"Entrepreneurship")</f>
        <v>Entrepreneurship</v>
      </c>
      <c r="AM62" s="61" t="str">
        <f>IFERROR(__xludf.DUMMYFUNCTION("""COMPUTED_VALUE"""),"Zinah saleh CV 1.pdf")</f>
        <v>Zinah saleh CV 1.pdf</v>
      </c>
      <c r="AN62" s="61" t="str">
        <f>IFERROR(__xludf.DUMMYFUNCTION("""COMPUTED_VALUE"""),"Yes, I have thought about changing the world, but I believe meaningful change begins with changing our own communities first. In Iraq, many women face economic challenges and limited employment opportunities. Inspired by local youth initiatives, I decided"&amp;" to take action in my own capacity by starting a soap-making project aimed at supporting women in need of work. What began as a small initiative has grown into a project that currently provides income-generating opportunities for 25 Iraqi women. This expe"&amp;"rience taught me that changing the world does not always require large resources; sometimes it starts with empowering a few people, who then create a positive impact within their families and communities.")</f>
        <v>Yes, I have thought about changing the world, but I believe meaningful change begins with changing our own communities first. In Iraq, many women face economic challenges and limited employment opportunities. Inspired by local youth initiatives, I decided to take action in my own capacity by starting a soap-making project aimed at supporting women in need of work. What began as a small initiative has grown into a project that currently provides income-generating opportunities for 25 Iraqi women. This experience taught me that changing the world does not always require large resources; sometimes it starts with empowering a few people, who then create a positive impact within their families and communities.</v>
      </c>
      <c r="AO62" s="61" t="str">
        <f>IFERROR(__xludf.DUMMYFUNCTION("""COMPUTED_VALUE"""),"In my opinion, Iraq is one of the diplomatically significant countries in the world. Despite facing decades of conflict and instability, Iraq remains a bridge between different regions, cultures, and political interests in the Middle East. It maintains re"&amp;"lationships with neighboring countries, global powers, and international organizations, making dialogue and cooperation essential to its future.
As a young Iraqi woman, I have learned that diplomacy is not only practiced by governments but also by citize"&amp;"ns who build understanding within their communities. Through my soap-making initiative, which currently provides work opportunities for 25 Iraqi women, I try to contribute to social stability and economic empowerment. I believe Iraq's greatest diplomatic "&amp;"strength lies in its people, especially its youth, who can foster peace, resilience, and cooperation at both local and global levels.")</f>
        <v>In my opinion, Iraq is one of the diplomatically significant countries in the world. Despite facing decades of conflict and instability, Iraq remains a bridge between different regions, cultures, and political interests in the Middle East. It maintains relationships with neighboring countries, global powers, and international organizations, making dialogue and cooperation essential to its future.
As a young Iraqi woman, I have learned that diplomacy is not only practiced by governments but also by citizens who build understanding within their communities. Through my soap-making initiative, which currently provides work opportunities for 25 Iraqi women, I try to contribute to social stability and economic empowerment. I believe Iraq's greatest diplomatic strength lies in its people, especially its youth, who can foster peace, resilience, and cooperation at both local and global levels.</v>
      </c>
      <c r="AP62" s="61" t="str">
        <f>IFERROR(__xludf.DUMMYFUNCTION("""COMPUTED_VALUE"""),"I believe young people play a vital role in diplomacy because they bring new ideas, build connections across cultures, and challenge stereotypes through dialogue and action. In a world where misunderstandings and divisions are common, youth can act as bri"&amp;"dges between communities by promoting mutual understanding, inclusion, and cooperation.
To me, Public Diplomacy means that ordinary citizens can represent the values, culture, and aspirations of their countries just as effectively as official diplomats. "&amp;"It is about creating positive stories, fostering people-to-people connections, and showing the world another side of our societies.
As a young Iraqi woman, I strongly relate to this idea. Iraq is often viewed through the lens of conflict and instability,"&amp;" but I believe our country is also full of resilience, creativity, and compassion. Inspired by community initiatives led by young Iraqis, I started a soap-making project aimed at providing employment opportunities for women in need. Today, the project sup"&amp;"ports 25 Iraqi women and helps them earn an income with dignity.
Through this initiative, I feel that I am practicing public diplomacy in my own way. By empowering women and sharing a different narrative about Iraqi youth, I hope to demonstrate that youn"&amp;"g people in Iraq are not only overcoming challenges but are also creating opportunities, strengthening communities, and contributing to a more positive image of our country.")</f>
        <v>I believe young people play a vital role in diplomacy because they bring new ideas, build connections across cultures, and challenge stereotypes through dialogue and action. In a world where misunderstandings and divisions are common, youth can act as bridges between communities by promoting mutual understanding, inclusion, and cooperation.
To me, Public Diplomacy means that ordinary citizens can represent the values, culture, and aspirations of their countries just as effectively as official diplomats. It is about creating positive stories, fostering people-to-people connections, and showing the world another side of our societies.
As a young Iraqi woman, I strongly relate to this idea. Iraq is often viewed through the lens of conflict and instability, but I believe our country is also full of resilience, creativity, and compassion. Inspired by community initiatives led by young Iraqis, I started a soap-making project aimed at providing employment opportunities for women in need. Today, the project supports 25 Iraqi women and helps them earn an income with dignity.
Through this initiative, I feel that I am practicing public diplomacy in my own way. By empowering women and sharing a different narrative about Iraqi youth, I hope to demonstrate that young people in Iraq are not only overcoming challenges but are also creating opportunities, strengthening communities, and contributing to a more positive image of our country.</v>
      </c>
      <c r="AQ62" s="61" t="str">
        <f>IFERROR(__xludf.DUMMYFUNCTION("""COMPUTED_VALUE"""),"To me, passion is the inner drive that keeps a person moving forward despite obstacles, uncertainty, or limited resources. It is more than simply enjoying something; it is believing deeply in a purpose and being willing to work consistently to achieve it."&amp;"
Passion has played an important role in helping me pursue my goals. As an Iraqi woman, I have witnessed the economic challenges that many women face and the difficulties they encounter in finding stable employment. Instead of accepting this reality, I w"&amp;"as motivated by my passion for supporting and empowering women in my community. This inspired me to start a soap-making project aimed at creating income-generating opportunities for women in need.
Building the project was not always easy, but passion hel"&amp;"ped me remain committed, learn new skills, and continue improving despite challenges. Today, the project provides work opportunities for 25 Iraqi women. This experience taught me that passion gives meaning to our efforts, strengthens resilience, and trans"&amp;"forms small ideas into initiatives that positively impact people's lives.")</f>
        <v>To me, passion is the inner drive that keeps a person moving forward despite obstacles, uncertainty, or limited resources. It is more than simply enjoying something; it is believing deeply in a purpose and being willing to work consistently to achieve it.
Passion has played an important role in helping me pursue my goals. As an Iraqi woman, I have witnessed the economic challenges that many women face and the difficulties they encounter in finding stable employment. Instead of accepting this reality, I was motivated by my passion for supporting and empowering women in my community. This inspired me to start a soap-making project aimed at creating income-generating opportunities for women in need.
Building the project was not always easy, but passion helped me remain committed, learn new skills, and continue improving despite challenges. Today, the project provides work opportunities for 25 Iraqi women. This experience taught me that passion gives meaning to our efforts, strengthens resilience, and transforms small ideas into initiatives that positively impact people's lives.</v>
      </c>
      <c r="AR62" s="61" t="str">
        <f>IFERROR(__xludf.DUMMYFUNCTION("""COMPUTED_VALUE"""),"Yes, I consider myself a creative person, not only in terms of making products, but also in finding practical ways to address challenges within my community. I believe creativity is the ability to transform simple ideas into meaningful opportunities that "&amp;"improve people's lives.
As a young Iraqi woman, I used creativity to establish a soap-making project that provides employment opportunities for women who face economic hardship. What started as a small initiative has grown into a project that currently s"&amp;"upports 25 Iraqi women. Beyond generating income, the project helps women gain confidence, develop skills, and feel more connected to their communities.
I believe creativity can become an effective public diplomacy strategy because it allows ordinary cit"&amp;"izens to share authentic stories about their countries. Iraq is often portrayed internationally through conflict and instability, but creative community initiatives can present a different image—one that reflects resilience, talent, and social solidarity."&amp;"
By promoting women-led initiatives, exchanging experiences with young people from other countries, and sharing success stories through cultural and international platforms, creativity can help build mutual understanding and strengthen people-to-people c"&amp;"onnections. In this way, creative projects do not only solve local problems, but also contribute to a more positive and human-centered image of Iraq in the global community.")</f>
        <v>Yes, I consider myself a creative person, not only in terms of making products, but also in finding practical ways to address challenges within my community. I believe creativity is the ability to transform simple ideas into meaningful opportunities that improve people's lives.
As a young Iraqi woman, I used creativity to establish a soap-making project that provides employment opportunities for women who face economic hardship. What started as a small initiative has grown into a project that currently supports 25 Iraqi women. Beyond generating income, the project helps women gain confidence, develop skills, and feel more connected to their communities.
I believe creativity can become an effective public diplomacy strategy because it allows ordinary citizens to share authentic stories about their countries. Iraq is often portrayed internationally through conflict and instability, but creative community initiatives can present a different image—one that reflects resilience, talent, and social solidarity.
By promoting women-led initiatives, exchanging experiences with young people from other countries, and sharing success stories through cultural and international platforms, creativity can help build mutual understanding and strengthen people-to-people connections. In this way, creative projects do not only solve local problems, but also contribute to a more positive and human-centered image of Iraq in the global community.</v>
      </c>
      <c r="AS62" s="61" t="str">
        <f>IFERROR(__xludf.DUMMYFUNCTION("""COMPUTED_VALUE"""),"Yes")</f>
        <v>Yes</v>
      </c>
      <c r="AT62" s="61" t="str">
        <f>IFERROR(__xludf.DUMMYFUNCTION("""COMPUTED_VALUE"""),"Yes")</f>
        <v>Yes</v>
      </c>
      <c r="AU62" s="61" t="str">
        <f>IFERROR(__xludf.DUMMYFUNCTION("""COMPUTED_VALUE"""),"Philosophy, Media &amp; Diplomacy in International Relations")</f>
        <v>Philosophy, Media &amp; Diplomacy in International Relations</v>
      </c>
      <c r="AV62" s="61" t="str">
        <f>IFERROR(__xludf.DUMMYFUNCTION("""COMPUTED_VALUE"""),"google search")</f>
        <v>google search</v>
      </c>
      <c r="AW62" s="61" t="str">
        <f>IFERROR(__xludf.DUMMYFUNCTION("""COMPUTED_VALUE"""),"public diplomacy")</f>
        <v>public diplomacy</v>
      </c>
      <c r="AX62" s="66" t="str">
        <f>IFERROR(__xludf.DUMMYFUNCTION("""COMPUTED_VALUE"""),"Yes")</f>
        <v>Yes</v>
      </c>
      <c r="AY62" s="66">
        <f>IFERROR(__xludf.DUMMYFUNCTION("""COMPUTED_VALUE"""),15.99)</f>
        <v>15.99</v>
      </c>
      <c r="AZ62" s="61"/>
      <c r="BA62" s="61"/>
      <c r="BB62" s="61"/>
      <c r="BC62" s="61"/>
      <c r="BD62" s="61"/>
      <c r="BE62" s="61"/>
      <c r="BF62" s="61"/>
      <c r="BG62" s="61"/>
      <c r="BH62" s="61"/>
      <c r="BI62" s="61"/>
      <c r="BJ62" s="61"/>
      <c r="BK62" s="61"/>
      <c r="BL62" s="61"/>
      <c r="BM62" s="61"/>
      <c r="BN62" s="61"/>
      <c r="BO62" s="61"/>
      <c r="BP62" s="61"/>
      <c r="BQ62" s="61"/>
      <c r="BR62" s="61"/>
    </row>
    <row r="63" ht="15.75" customHeight="1">
      <c r="A63" s="61" t="str">
        <f>IFERROR(__xludf.DUMMYFUNCTION("""COMPUTED_VALUE"""),"Partial")</f>
        <v>Partial</v>
      </c>
      <c r="B63" s="62">
        <f>IFERROR(__xludf.DUMMYFUNCTION("""COMPUTED_VALUE"""),78.0)</f>
        <v>78</v>
      </c>
      <c r="C63" s="61" t="str">
        <f>IFERROR(__xludf.DUMMYFUNCTION("""COMPUTED_VALUE"""),"Partial")</f>
        <v>Partial</v>
      </c>
      <c r="D63" s="63" t="str">
        <f>IFERROR(__xludf.DUMMYFUNCTION("""COMPUTED_VALUE"""),"Submitted")</f>
        <v>Submitted</v>
      </c>
      <c r="E63" s="63">
        <f>IFERROR(__xludf.DUMMYFUNCTION("""COMPUTED_VALUE"""),46200.76944444444)</f>
        <v>46200.76944</v>
      </c>
      <c r="F63" s="61" t="str">
        <f>IFERROR(__xludf.DUMMYFUNCTION("""COMPUTED_VALUE"""),"Raden Levia Asriana")</f>
        <v>Raden Levia Asriana</v>
      </c>
      <c r="G63" s="61" t="str">
        <f>IFERROR(__xludf.DUMMYFUNCTION("""COMPUTED_VALUE"""),"Raden Levia Asriana")</f>
        <v>Raden Levia Asriana</v>
      </c>
      <c r="H63" s="61" t="str">
        <f>IFERROR(__xludf.DUMMYFUNCTION("""COMPUTED_VALUE"""),"r.levia.asriana@gmail.com")</f>
        <v>r.levia.asriana@gmail.com</v>
      </c>
      <c r="I63" s="61" t="str">
        <f>IFERROR(__xludf.DUMMYFUNCTION("""COMPUTED_VALUE"""),"r.levia_asriana@ymail.com")</f>
        <v>r.levia_asriana@ymail.com</v>
      </c>
      <c r="J63" s="61" t="str">
        <f>IFERROR(__xludf.DUMMYFUNCTION("""COMPUTED_VALUE"""),"Kampung Tutugan 28 A, Bandung Barat, Indonesia")</f>
        <v>Kampung Tutugan 28 A, Bandung Barat, Indonesia</v>
      </c>
      <c r="K63" s="61" t="str">
        <f>IFERROR(__xludf.DUMMYFUNCTION("""COMPUTED_VALUE"""),"Indonesian")</f>
        <v>Indonesian</v>
      </c>
      <c r="L63" s="64" t="str">
        <f>IFERROR(__xludf.DUMMYFUNCTION("""COMPUTED_VALUE"""),"+6285717023594")</f>
        <v>+6285717023594</v>
      </c>
      <c r="M63" s="64">
        <f>IFERROR(__xludf.DUMMYFUNCTION("""COMPUTED_VALUE"""),34477.0)</f>
        <v>34477</v>
      </c>
      <c r="N63" s="61" t="str">
        <f>IFERROR(__xludf.DUMMYFUNCTION("""COMPUTED_VALUE"""),"X1194562")</f>
        <v>X1194562</v>
      </c>
      <c r="O63" s="61" t="str">
        <f>IFERROR(__xludf.DUMMYFUNCTION("""COMPUTED_VALUE"""),"+628121491132")</f>
        <v>+628121491132</v>
      </c>
      <c r="P63" s="65" t="str">
        <f>IFERROR(__xludf.DUMMYFUNCTION("""COMPUTED_VALUE"""),"www.linkedin.com/in/rleviaasriana")</f>
        <v>www.linkedin.com/in/rleviaasriana</v>
      </c>
      <c r="Q63" s="61" t="str">
        <f>IFERROR(__xludf.DUMMYFUNCTION("""COMPUTED_VALUE"""),"leviathan.owl")</f>
        <v>leviathan.owl</v>
      </c>
      <c r="R63" s="61"/>
      <c r="S63" s="61" t="str">
        <f>IFERROR(__xludf.DUMMYFUNCTION("""COMPUTED_VALUE"""),"PASSPORT.jpg")</f>
        <v>PASSPORT.jpg</v>
      </c>
      <c r="T63" s="61" t="str">
        <f>IFERROR(__xludf.DUMMYFUNCTION("""COMPUTED_VALUE"""),"PASS PHOTO 2.png")</f>
        <v>PASS PHOTO 2.png</v>
      </c>
      <c r="U63" s="61" t="str">
        <f>IFERROR(__xludf.DUMMYFUNCTION("""COMPUTED_VALUE"""),"Bachelor's Degree")</f>
        <v>Bachelor's Degree</v>
      </c>
      <c r="V63" s="61" t="str">
        <f>IFERROR(__xludf.DUMMYFUNCTION("""COMPUTED_VALUE"""),"Bachelor of Education")</f>
        <v>Bachelor of Education</v>
      </c>
      <c r="W63" s="61" t="str">
        <f>IFERROR(__xludf.DUMMYFUNCTION("""COMPUTED_VALUE"""),"Bachelor of Education in Civic Education")</f>
        <v>Bachelor of Education in Civic Education</v>
      </c>
      <c r="X63" s="61" t="str">
        <f>IFERROR(__xludf.DUMMYFUNCTION("""COMPUTED_VALUE"""),"Indonesia University of Education")</f>
        <v>Indonesia University of Education</v>
      </c>
      <c r="Y63" s="61" t="str">
        <f>IFERROR(__xludf.DUMMYFUNCTION("""COMPUTED_VALUE"""),"No")</f>
        <v>No</v>
      </c>
      <c r="Z63" s="61" t="str">
        <f>IFERROR(__xludf.DUMMYFUNCTION("""COMPUTED_VALUE"""),"Indonesia")</f>
        <v>Indonesia</v>
      </c>
      <c r="AA63" s="61" t="str">
        <f>IFERROR(__xludf.DUMMYFUNCTION("""COMPUTED_VALUE"""),"No")</f>
        <v>No</v>
      </c>
      <c r="AB63" s="61"/>
      <c r="AC63" s="61" t="str">
        <f>IFERROR(__xludf.DUMMYFUNCTION("""COMPUTED_VALUE"""),"Yes")</f>
        <v>Yes</v>
      </c>
      <c r="AD63" s="61" t="str">
        <f>IFERROR(__xludf.DUMMYFUNCTION("""COMPUTED_VALUE"""),"Student Executive Board (HMCH), Indonesia University of Education")</f>
        <v>Student Executive Board (HMCH), Indonesia University of Education</v>
      </c>
      <c r="AE63" s="65" t="str">
        <f>IFERROR(__xludf.DUMMYFUNCTION("""COMPUTED_VALUE"""),"https://upi.edu")</f>
        <v>https://upi.edu</v>
      </c>
      <c r="AF63" s="61" t="str">
        <f>IFERROR(__xludf.DUMMYFUNCTION("""COMPUTED_VALUE"""),"Head of Social &amp; Community Affairs")</f>
        <v>Head of Social &amp; Community Affairs</v>
      </c>
      <c r="AG63" s="61" t="str">
        <f>IFERROR(__xludf.DUMMYFUNCTION("""COMPUTED_VALUE"""),"3+ years")</f>
        <v>3+ years</v>
      </c>
      <c r="AH63" s="61" t="str">
        <f>IFERROR(__xludf.DUMMYFUNCTION("""COMPUTED_VALUE"""),"No")</f>
        <v>No</v>
      </c>
      <c r="AI63" s="61"/>
      <c r="AJ63" s="61"/>
      <c r="AK63" s="61"/>
      <c r="AL63" s="61" t="str">
        <f>IFERROR(__xludf.DUMMYFUNCTION("""COMPUTED_VALUE"""),"Leadership, Community Development, Project Coordination, Public Speaking, Stakeholder Engagement, Operations Management, Customer Support, Administrative Management, Cross-cultural Communication, Event Coordination, Strategic Planning, Research, English C"&amp;"ommunication.")</f>
        <v>Leadership, Community Development, Project Coordination, Public Speaking, Stakeholder Engagement, Operations Management, Customer Support, Administrative Management, Cross-cultural Communication, Event Coordination, Strategic Planning, Research, English Communication.</v>
      </c>
      <c r="AM63" s="61" t="str">
        <f>IFERROR(__xludf.DUMMYFUNCTION("""COMPUTED_VALUE"""),"Academic CV.pdf")</f>
        <v>Academic CV.pdf</v>
      </c>
      <c r="AN63" s="61" t="str">
        <f>IFERROR(__xludf.DUMMYFUNCTION("""COMPUTED_VALUE"""),"I believe meaningful change begins with small, consistent actions rather than grand promises. As Head of Social &amp; Community Affairs in my university's student executive board, I organized community outreach and educational initiatives that encouraged civi"&amp;"c participation. I also volunteered as a Super Mentor in the Deall Career Mentoring Festival, supporting young Indonesians in their career development. Professionally, I have worked with multicultural teams across different countries, strengthening my abi"&amp;"lity to communicate across cultures. These experiences taught me that creating opportunities, sharing knowledge, and connecting people are practical ways to contribute to society.")</f>
        <v>I believe meaningful change begins with small, consistent actions rather than grand promises. As Head of Social &amp; Community Affairs in my university's student executive board, I organized community outreach and educational initiatives that encouraged civic participation. I also volunteered as a Super Mentor in the Deall Career Mentoring Festival, supporting young Indonesians in their career development. Professionally, I have worked with multicultural teams across different countries, strengthening my ability to communicate across cultures. These experiences taught me that creating opportunities, sharing knowledge, and connecting people are practical ways to contribute to society.</v>
      </c>
      <c r="AO63" s="61" t="str">
        <f>IFERROR(__xludf.DUMMYFUNCTION("""COMPUTED_VALUE"""),"Rather than identifying a single most important country, I believe countries that build bridges between regions have the greatest diplomatic significance. Indonesia is one of them. As the world's third-largest democracy and a founding member of ASEAN, Ind"&amp;"onesia has demonstrated an ability to maintain constructive relationships with countries holding different political and economic interests. In an increasingly polarized world, diplomacy should focus on dialogue, cooperation, and mutual respect instead of"&amp;" rivalry. Countries that encourage collaboration across cultures and regions will play the most significant diplomatic role in the future.")</f>
        <v>Rather than identifying a single most important country, I believe countries that build bridges between regions have the greatest diplomatic significance. Indonesia is one of them. As the world's third-largest democracy and a founding member of ASEAN, Indonesia has demonstrated an ability to maintain constructive relationships with countries holding different political and economic interests. In an increasingly polarized world, diplomacy should focus on dialogue, cooperation, and mutual respect instead of rivalry. Countries that encourage collaboration across cultures and regions will play the most significant diplomatic role in the future.</v>
      </c>
      <c r="AP63" s="61" t="str">
        <f>IFERROR(__xludf.DUMMYFUNCTION("""COMPUTED_VALUE"""),"Young people bring fresh perspectives, technological literacy, and a willingness to collaborate across cultures. Public diplomacy is no longer limited to governments. Students, professionals, educators, entrepreneurs, and community leaders all contribute "&amp;"to shaping how countries understand one another.
Throughout my academic, professional, and volunteer experiences, I have worked with people from Indonesia, Cambodia, the Netherlands, the United Arab Emirates, and other international environments. These e"&amp;"xperiences taught me that listening, respecting different perspectives, and solving problems together are essential diplomatic skills.
I believe public diplomacy starts with everyday interactions. Every conversation, partnership, and community initiative"&amp;" has the potential to build trust between people from different backgrounds. By participating in this summit, I hope to exchange ideas, learn from other young leaders, and represent Indonesia as someone committed to dialogue, cooperation, and inclusive le"&amp;"adership.")</f>
        <v>Young people bring fresh perspectives, technological literacy, and a willingness to collaborate across cultures. Public diplomacy is no longer limited to governments. Students, professionals, educators, entrepreneurs, and community leaders all contribute to shaping how countries understand one another.
Throughout my academic, professional, and volunteer experiences, I have worked with people from Indonesia, Cambodia, the Netherlands, the United Arab Emirates, and other international environments. These experiences taught me that listening, respecting different perspectives, and solving problems together are essential diplomatic skills.
I believe public diplomacy starts with everyday interactions. Every conversation, partnership, and community initiative has the potential to build trust between people from different backgrounds. By participating in this summit, I hope to exchange ideas, learn from other young leaders, and represent Indonesia as someone committed to dialogue, cooperation, and inclusive leadership.</v>
      </c>
      <c r="AQ63" s="61" t="str">
        <f>IFERROR(__xludf.DUMMYFUNCTION("""COMPUTED_VALUE"""),"Passion is not simply enthusiasm. It is the discipline to continue learning and improving despite setbacks. My passion lies in public service, international collaboration, and lifelong learning. It motivated me to study abroad, pursue international work o"&amp;"pportunities, and continue volunteering even while building my professional career. Passion keeps me focused on long-term goals instead of temporary obstacles. I believe meaningful leadership comes from consistency, resilience, and a genuine desire to con"&amp;"tribute to others. This mindset has helped me adapt to different cultures, work in multicultural environments, and continue seeking opportunities to create positive impact.")</f>
        <v>Passion is not simply enthusiasm. It is the discipline to continue learning and improving despite setbacks. My passion lies in public service, international collaboration, and lifelong learning. It motivated me to study abroad, pursue international work opportunities, and continue volunteering even while building my professional career. Passion keeps me focused on long-term goals instead of temporary obstacles. I believe meaningful leadership comes from consistency, resilience, and a genuine desire to contribute to others. This mindset has helped me adapt to different cultures, work in multicultural environments, and continue seeking opportunities to create positive impact.</v>
      </c>
      <c r="AR63" s="61" t="str">
        <f>IFERROR(__xludf.DUMMYFUNCTION("""COMPUTED_VALUE"""),"I consider creativity to be the ability to connect people and ideas in practical ways. Effective public diplomacy requires clear communication, empathy, and cultural understanding rather than complex political language. I would use digital platforms, stor"&amp;"ytelling, and community-based projects to encourage dialogue between young people from different countries. Instead of focusing only on formal discussions, I believe cultural exchange, collaborative projects, and educational initiatives create stronger an"&amp;"d longer-lasting international relationships. My professional background in operations, communication, and stakeholder coordination has taught me how to organize people around shared goals. I hope to apply these skills to create initiatives that encourage"&amp;" cooperation, mutual respect, and sustainable partnerships beyond the duration of the summit.")</f>
        <v>I consider creativity to be the ability to connect people and ideas in practical ways. Effective public diplomacy requires clear communication, empathy, and cultural understanding rather than complex political language. I would use digital platforms, storytelling, and community-based projects to encourage dialogue between young people from different countries. Instead of focusing only on formal discussions, I believe cultural exchange, collaborative projects, and educational initiatives create stronger and longer-lasting international relationships. My professional background in operations, communication, and stakeholder coordination has taught me how to organize people around shared goals. I hope to apply these skills to create initiatives that encourage cooperation, mutual respect, and sustainable partnerships beyond the duration of the summit.</v>
      </c>
      <c r="AS63" s="61" t="str">
        <f>IFERROR(__xludf.DUMMYFUNCTION("""COMPUTED_VALUE"""),"Yes")</f>
        <v>Yes</v>
      </c>
      <c r="AT63" s="61" t="str">
        <f>IFERROR(__xludf.DUMMYFUNCTION("""COMPUTED_VALUE"""),"Yes")</f>
        <v>Yes</v>
      </c>
      <c r="AU63" s="61" t="str">
        <f>IFERROR(__xludf.DUMMYFUNCTION("""COMPUTED_VALUE"""),"Global Politics, Diplomacy &amp; Identities")</f>
        <v>Global Politics, Diplomacy &amp; Identities</v>
      </c>
      <c r="AV63" s="61" t="str">
        <f>IFERROR(__xludf.DUMMYFUNCTION("""COMPUTED_VALUE"""),"Google Search")</f>
        <v>Google Search</v>
      </c>
      <c r="AW63" s="61" t="str">
        <f>IFERROR(__xludf.DUMMYFUNCTION("""COMPUTED_VALUE"""),"Public Diplomacy in the 21st Century")</f>
        <v>Public Diplomacy in the 21st Century</v>
      </c>
      <c r="AX63" s="66" t="str">
        <f>IFERROR(__xludf.DUMMYFUNCTION("""COMPUTED_VALUE"""),"Yes")</f>
        <v>Yes</v>
      </c>
      <c r="AY63" s="66">
        <f>IFERROR(__xludf.DUMMYFUNCTION("""COMPUTED_VALUE"""),15.99)</f>
        <v>15.99</v>
      </c>
      <c r="AZ63" s="61"/>
      <c r="BA63" s="61"/>
      <c r="BB63" s="61"/>
      <c r="BC63" s="61"/>
      <c r="BD63" s="61"/>
      <c r="BE63" s="61"/>
      <c r="BF63" s="61"/>
      <c r="BG63" s="61"/>
      <c r="BH63" s="61"/>
      <c r="BI63" s="61"/>
      <c r="BJ63" s="61"/>
      <c r="BK63" s="61"/>
      <c r="BL63" s="61"/>
      <c r="BM63" s="61"/>
      <c r="BN63" s="61"/>
      <c r="BO63" s="61"/>
      <c r="BP63" s="61"/>
      <c r="BQ63" s="61"/>
      <c r="BR63" s="61"/>
    </row>
    <row r="64" ht="15.75" customHeight="1">
      <c r="A64" s="61" t="str">
        <f>IFERROR(__xludf.DUMMYFUNCTION("""COMPUTED_VALUE"""),"")</f>
        <v/>
      </c>
      <c r="B64" s="62">
        <f>IFERROR(__xludf.DUMMYFUNCTION("""COMPUTED_VALUE"""),79.0)</f>
        <v>79</v>
      </c>
      <c r="C64" s="61" t="str">
        <f>IFERROR(__xludf.DUMMYFUNCTION("""COMPUTED_VALUE"""),"Self")</f>
        <v>Self</v>
      </c>
      <c r="D64" s="63" t="str">
        <f>IFERROR(__xludf.DUMMYFUNCTION("""COMPUTED_VALUE"""),"Submitted")</f>
        <v>Submitted</v>
      </c>
      <c r="E64" s="63">
        <f>IFERROR(__xludf.DUMMYFUNCTION("""COMPUTED_VALUE"""),46201.26666666667)</f>
        <v>46201.26667</v>
      </c>
      <c r="F64" s="61" t="str">
        <f>IFERROR(__xludf.DUMMYFUNCTION("""COMPUTED_VALUE"""),"Adil OUBANALA")</f>
        <v>Adil OUBANALA</v>
      </c>
      <c r="G64" s="61" t="str">
        <f>IFERROR(__xludf.DUMMYFUNCTION("""COMPUTED_VALUE"""),"Adil OUBANALA")</f>
        <v>Adil OUBANALA</v>
      </c>
      <c r="H64" s="61" t="str">
        <f>IFERROR(__xludf.DUMMYFUNCTION("""COMPUTED_VALUE"""),"oubanalaa@gmail.com")</f>
        <v>oubanalaa@gmail.com</v>
      </c>
      <c r="I64" s="61" t="str">
        <f>IFERROR(__xludf.DUMMYFUNCTION("""COMPUTED_VALUE"""),"Adil.OUBANALA@um6p.ma")</f>
        <v>Adil.OUBANALA@um6p.ma</v>
      </c>
      <c r="J64" s="61" t="str">
        <f>IFERROR(__xludf.DUMMYFUNCTION("""COMPUTED_VALUE"""),"QUARTIER ADMINISTRATIF, AIT BAHA, Morocco")</f>
        <v>QUARTIER ADMINISTRATIF, AIT BAHA, Morocco</v>
      </c>
      <c r="K64" s="61" t="str">
        <f>IFERROR(__xludf.DUMMYFUNCTION("""COMPUTED_VALUE"""),"Moroccan")</f>
        <v>Moroccan</v>
      </c>
      <c r="L64" s="64" t="str">
        <f>IFERROR(__xludf.DUMMYFUNCTION("""COMPUTED_VALUE"""),"+212621292005")</f>
        <v>+212621292005</v>
      </c>
      <c r="M64" s="64">
        <f>IFERROR(__xludf.DUMMYFUNCTION("""COMPUTED_VALUE"""),39560.0)</f>
        <v>39560</v>
      </c>
      <c r="N64" s="61" t="str">
        <f>IFERROR(__xludf.DUMMYFUNCTION("""COMPUTED_VALUE"""),"PB0143586")</f>
        <v>PB0143586</v>
      </c>
      <c r="O64" s="61" t="str">
        <f>IFERROR(__xludf.DUMMYFUNCTION("""COMPUTED_VALUE"""),"+212621292005")</f>
        <v>+212621292005</v>
      </c>
      <c r="P64" s="65" t="str">
        <f>IFERROR(__xludf.DUMMYFUNCTION("""COMPUTED_VALUE"""),"https://www.linkedin.com/in/adil-oubanala-885ab3387/")</f>
        <v>https://www.linkedin.com/in/adil-oubanala-885ab3387/</v>
      </c>
      <c r="Q64" s="61"/>
      <c r="R64" s="61"/>
      <c r="S64" s="61" t="str">
        <f>IFERROR(__xludf.DUMMYFUNCTION("""COMPUTED_VALUE"""),"passport_Adil_OUBANALA.pdf")</f>
        <v>passport_Adil_OUBANALA.pdf</v>
      </c>
      <c r="T64" s="61" t="str">
        <f>IFERROR(__xludf.DUMMYFUNCTION("""COMPUTED_VALUE"""),"Adil OUBANALA .pdf")</f>
        <v>Adil OUBANALA .pdf</v>
      </c>
      <c r="U64" s="61" t="str">
        <f>IFERROR(__xludf.DUMMYFUNCTION("""COMPUTED_VALUE"""),"Undergraduate Student")</f>
        <v>Undergraduate Student</v>
      </c>
      <c r="V64" s="61" t="str">
        <f>IFERROR(__xludf.DUMMYFUNCTION("""COMPUTED_VALUE"""),"Engineering Degree")</f>
        <v>Engineering Degree</v>
      </c>
      <c r="W64" s="61" t="str">
        <f>IFERROR(__xludf.DUMMYFUNCTION("""COMPUTED_VALUE"""),"Agro-Environmental Systems Engineering")</f>
        <v>Agro-Environmental Systems Engineering</v>
      </c>
      <c r="X64" s="61" t="str">
        <f>IFERROR(__xludf.DUMMYFUNCTION("""COMPUTED_VALUE"""),"University Mohammed 6 Polytechnic")</f>
        <v>University Mohammed 6 Polytechnic</v>
      </c>
      <c r="Y64" s="61" t="str">
        <f>IFERROR(__xludf.DUMMYFUNCTION("""COMPUTED_VALUE"""),"Yes")</f>
        <v>Yes</v>
      </c>
      <c r="Z64" s="61" t="str">
        <f>IFERROR(__xludf.DUMMYFUNCTION("""COMPUTED_VALUE"""),"Morocco")</f>
        <v>Morocco</v>
      </c>
      <c r="AA64" s="61" t="str">
        <f>IFERROR(__xludf.DUMMYFUNCTION("""COMPUTED_VALUE"""),"Yes")</f>
        <v>Yes</v>
      </c>
      <c r="AB64" s="61" t="str">
        <f>IFERROR(__xludf.DUMMYFUNCTION("""COMPUTED_VALUE"""),"Parul University, India, in the Global Discovery Program – Leadership &amp; Skill Enhancement Track.")</f>
        <v>Parul University, India, in the Global Discovery Program – Leadership &amp; Skill Enhancement Track.</v>
      </c>
      <c r="AC64" s="61" t="str">
        <f>IFERROR(__xludf.DUMMYFUNCTION("""COMPUTED_VALUE"""),"Yes. Through my engineering curriculum, I actively engage with technical methodologies and research structures.")</f>
        <v>Yes. Through my engineering curriculum, I actively engage with technical methodologies and research structures.</v>
      </c>
      <c r="AD64" s="61" t="str">
        <f>IFERROR(__xludf.DUMMYFUNCTION("""COMPUTED_VALUE"""),"Social Lens Program of my university UM6P.")</f>
        <v>Social Lens Program of my university UM6P.</v>
      </c>
      <c r="AE64" s="65" t="str">
        <f>IFERROR(__xludf.DUMMYFUNCTION("""COMPUTED_VALUE"""),"https://um6p.ma/en/social-experience-program")</f>
        <v>https://um6p.ma/en/social-experience-program</v>
      </c>
      <c r="AF64" s="61" t="str">
        <f>IFERROR(__xludf.DUMMYFUNCTION("""COMPUTED_VALUE"""),"Volunteer (Engaging in community activities, and creating a film for social impact)")</f>
        <v>Volunteer (Engaging in community activities, and creating a film for social impact)</v>
      </c>
      <c r="AG64" s="61" t="str">
        <f>IFERROR(__xludf.DUMMYFUNCTION("""COMPUTED_VALUE"""),"1 year")</f>
        <v>1 year</v>
      </c>
      <c r="AH64" s="61" t="str">
        <f>IFERROR(__xludf.DUMMYFUNCTION("""COMPUTED_VALUE"""),"No")</f>
        <v>No</v>
      </c>
      <c r="AI64" s="61"/>
      <c r="AJ64" s="61" t="str">
        <f>IFERROR(__xludf.DUMMYFUNCTION("""COMPUTED_VALUE"""),"No")</f>
        <v>No</v>
      </c>
      <c r="AK64" s="61"/>
      <c r="AL64" s="61" t="str">
        <f>IFERROR(__xludf.DUMMYFUNCTION("""COMPUTED_VALUE"""),"Strategic communication, social engagement, project management, leadership, intercultural communication.")</f>
        <v>Strategic communication, social engagement, project management, leadership, intercultural communication.</v>
      </c>
      <c r="AM64" s="61" t="str">
        <f>IFERROR(__xludf.DUMMYFUNCTION("""COMPUTED_VALUE"""),"CV_2026-06-28_Adil_OUBANALA.pdf")</f>
        <v>CV_2026-06-28_Adil_OUBANALA.pdf</v>
      </c>
      <c r="AN64" s="61" t="str">
        <f>IFERROR(__xludf.DUMMYFUNCTION("""COMPUTED_VALUE"""),"I believe changing the world starts with fixing real problems in your own community. For me, that means combining practical engineering with storytelling. To tackle environmental risks, I helped build an intelligent urban drainage system designed to preve"&amp;"nt local flooding. On the creative side, I worked with the Social Lens program to make films that inspire civic participation and bring people together. By pairing technical solutions with media that actually touches people's hearts, I am working to build"&amp;" safer, more connected communities on the ground.")</f>
        <v>I believe changing the world starts with fixing real problems in your own community. For me, that means combining practical engineering with storytelling. To tackle environmental risks, I helped build an intelligent urban drainage system designed to prevent local flooding. On the creative side, I worked with the Social Lens program to make films that inspire civic participation and bring people together. By pairing technical solutions with media that actually touches people's hearts, I am working to build safer, more connected communities on the ground.</v>
      </c>
      <c r="AO64" s="61" t="str">
        <f>IFERROR(__xludf.DUMMYFUNCTION("""COMPUTED_VALUE"""),"To me, a diplomatically significant country is one that acts as a bridge between different cultures and regions. Morocco is a perfect example. Sitting right at the crossroads of Africa, Europe, and the Mediterranean, it naturally serves as a vital hub for"&amp;" dialogue and cooperation. Whether it is taking the lead on climate initiatives or mediating regional partnerships, Morocco shows how a country can use its unique location, rich cultural identity, and strategic balance to foster peace and bring nations to"&amp;"gether on the global stage.")</f>
        <v>To me, a diplomatically significant country is one that acts as a bridge between different cultures and regions. Morocco is a perfect example. Sitting right at the crossroads of Africa, Europe, and the Mediterranean, it naturally serves as a vital hub for dialogue and cooperation. Whether it is taking the lead on climate initiatives or mediating regional partnerships, Morocco shows how a country can use its unique location, rich cultural identity, and strategic balance to foster peace and bring nations together on the global stage.</v>
      </c>
      <c r="AP64" s="61" t="str">
        <f>IFERROR(__xludf.DUMMYFUNCTION("""COMPUTED_VALUE"""),"Young people have a unique role in diplomacy because we don't rely on formal political treaties to connect. We use technology, shared passions, and grassroots action to build real friendships across borders. We humanize international relations by listenin"&amp;"g to each other directly.This is exactly why I connect so deeply with Public Diplomacy—it is all about building relationships with everyday people through soft power. My experience making social impact films showed me firsthand how a good story can bridge"&amp;" huge cultural gaps and get people talking. At the same time, my engineering studies teach me that global challenges like resource scarcity cannot be solved in isolation; they require open, public cooperation.
  Public diplomacy means taking big, complex "&amp;"issues and communicating them in a way that inspires communities to take action together. By joining this summit, I want to learn how to sharpen these communication tools, exchange ideas with peers from around the world, and bring back fresh leadership in"&amp;"sights to share with my community.")</f>
        <v>Young people have a unique role in diplomacy because we don't rely on formal political treaties to connect. We use technology, shared passions, and grassroots action to build real friendships across borders. We humanize international relations by listening to each other directly.This is exactly why I connect so deeply with Public Diplomacy—it is all about building relationships with everyday people through soft power. My experience making social impact films showed me firsthand how a good story can bridge huge cultural gaps and get people talking. At the same time, my engineering studies teach me that global challenges like resource scarcity cannot be solved in isolation; they require open, public cooperation.
  Public diplomacy means taking big, complex issues and communicating them in a way that inspires communities to take action together. By joining this summit, I want to learn how to sharpen these communication tools, exchange ideas with peers from around the world, and bring back fresh leadership insights to share with my community.</v>
      </c>
      <c r="AQ64" s="61" t="str">
        <f>IFERROR(__xludf.DUMMYFUNCTION("""COMPUTED_VALUE"""),"Passion is the energy that pushes you to take action instead of just sitting back and watching. It is what keeps you awake and driven, turning simple curiosity into a real commitment to help others. My personal passion is fueled by two things: protecting "&amp;"the environment and telling stories that matter. 
 This drive is exactly how I achieve my goals. It is what gave me the stamina to co-develop a flood-prevention system and what pushes me to seek out international opportunities—like being selected for the "&amp;"Global Discovery Program in India. Passion ensures that I don't just learn theories in a classroom; it constantly forces me to get my hands dirty, try new things, and work hard to make a positive difference in the real world.")</f>
        <v>Passion is the energy that pushes you to take action instead of just sitting back and watching. It is what keeps you awake and driven, turning simple curiosity into a real commitment to help others. My personal passion is fueled by two things: protecting the environment and telling stories that matter. 
 This drive is exactly how I achieve my goals. It is what gave me the stamina to co-develop a flood-prevention system and what pushes me to seek out international opportunities—like being selected for the Global Discovery Program in India. Passion ensures that I don't just learn theories in a classroom; it constantly forces me to get my hands dirty, try new things, and work hard to make a positive difference in the real world.</v>
      </c>
      <c r="AR64" s="61" t="str">
        <f>IFERROR(__xludf.DUMMYFUNCTION("""COMPUTED_VALUE"""),"Yes, I am definitely creative, but I see creativity as a problem-solving tool rather than just making art. True creativity is about connecting dots that others miss—like using visual storytelling to explain technical environmental challenges.  
 You can t"&amp;"urn this brand of creativity into a powerful public diplomacy strategy through message-driven media. Today, people are tired of dry facts and statistics. If you want to get communities to care about global issues like climate change or sustainability, you"&amp;" have to tell a human story. My time creating films taught me how to capture real emotions, break down cultural barriers, and get people engaged.
  A creative public diplomacy strategy takes important global goals and shares them through digital media tha"&amp;"t anyone can relate to. By using creative storytelling, international campaigns can build trust, reshape how countries view one another, and inspire young people across the globe to stand together. At the summit, I want to explore how we can use creative "&amp;"media to turn complex global policies into ideas that spark real, worldwide connection.")</f>
        <v>Yes, I am definitely creative, but I see creativity as a problem-solving tool rather than just making art. True creativity is about connecting dots that others miss—like using visual storytelling to explain technical environmental challenges.  
 You can turn this brand of creativity into a powerful public diplomacy strategy through message-driven media. Today, people are tired of dry facts and statistics. If you want to get communities to care about global issues like climate change or sustainability, you have to tell a human story. My time creating films taught me how to capture real emotions, break down cultural barriers, and get people engaged.
  A creative public diplomacy strategy takes important global goals and shares them through digital media that anyone can relate to. By using creative storytelling, international campaigns can build trust, reshape how countries view one another, and inspire young people across the globe to stand together. At the summit, I want to explore how we can use creative media to turn complex global policies into ideas that spark real, worldwide connection.</v>
      </c>
      <c r="AS64" s="61" t="str">
        <f>IFERROR(__xludf.DUMMYFUNCTION("""COMPUTED_VALUE"""),"Yes")</f>
        <v>Yes</v>
      </c>
      <c r="AT64" s="61" t="str">
        <f>IFERROR(__xludf.DUMMYFUNCTION("""COMPUTED_VALUE"""),"Yes")</f>
        <v>Yes</v>
      </c>
      <c r="AU64" s="61" t="str">
        <f>IFERROR(__xludf.DUMMYFUNCTION("""COMPUTED_VALUE"""),"Arts, Culture &amp; Soft Power")</f>
        <v>Arts, Culture &amp; Soft Power</v>
      </c>
      <c r="AV64" s="61" t="str">
        <f>IFERROR(__xludf.DUMMYFUNCTION("""COMPUTED_VALUE"""),"Official social media channels")</f>
        <v>Official social media channels</v>
      </c>
      <c r="AW64" s="61" t="str">
        <f>IFERROR(__xludf.DUMMYFUNCTION("""COMPUTED_VALUE"""),"International Relations")</f>
        <v>International Relations</v>
      </c>
      <c r="AX64" s="66" t="str">
        <f>IFERROR(__xludf.DUMMYFUNCTION("""COMPUTED_VALUE"""),"Yes")</f>
        <v>Yes</v>
      </c>
      <c r="AY64" s="66">
        <f>IFERROR(__xludf.DUMMYFUNCTION("""COMPUTED_VALUE"""),15.99)</f>
        <v>15.99</v>
      </c>
      <c r="AZ64" s="61"/>
      <c r="BA64" s="61"/>
      <c r="BB64" s="61"/>
      <c r="BC64" s="61"/>
      <c r="BD64" s="61"/>
      <c r="BE64" s="61"/>
      <c r="BF64" s="61"/>
      <c r="BG64" s="61"/>
      <c r="BH64" s="61"/>
      <c r="BI64" s="61"/>
      <c r="BJ64" s="61"/>
      <c r="BK64" s="61"/>
      <c r="BL64" s="61"/>
      <c r="BM64" s="61"/>
      <c r="BN64" s="61"/>
      <c r="BO64" s="61"/>
      <c r="BP64" s="61"/>
      <c r="BQ64" s="61"/>
      <c r="BR64" s="61"/>
    </row>
    <row r="65" ht="15.75" customHeight="1">
      <c r="A65" s="61" t="str">
        <f>IFERROR(__xludf.DUMMYFUNCTION("""COMPUTED_VALUE"""),"Partial")</f>
        <v>Partial</v>
      </c>
      <c r="B65" s="62">
        <f>IFERROR(__xludf.DUMMYFUNCTION("""COMPUTED_VALUE"""),80.0)</f>
        <v>80</v>
      </c>
      <c r="C65" s="61" t="str">
        <f>IFERROR(__xludf.DUMMYFUNCTION("""COMPUTED_VALUE"""),"Partial")</f>
        <v>Partial</v>
      </c>
      <c r="D65" s="63" t="str">
        <f>IFERROR(__xludf.DUMMYFUNCTION("""COMPUTED_VALUE"""),"Submitted")</f>
        <v>Submitted</v>
      </c>
      <c r="E65" s="63">
        <f>IFERROR(__xludf.DUMMYFUNCTION("""COMPUTED_VALUE"""),46201.85694444444)</f>
        <v>46201.85694</v>
      </c>
      <c r="F65" s="61" t="str">
        <f>IFERROR(__xludf.DUMMYFUNCTION("""COMPUTED_VALUE"""),"Muqaddas Jurakulova")</f>
        <v>Muqaddas Jurakulova</v>
      </c>
      <c r="G65" s="61" t="str">
        <f>IFERROR(__xludf.DUMMYFUNCTION("""COMPUTED_VALUE"""),"Muqaddas Jurakulova")</f>
        <v>Muqaddas Jurakulova</v>
      </c>
      <c r="H65" s="61" t="str">
        <f>IFERROR(__xludf.DUMMYFUNCTION("""COMPUTED_VALUE"""),"muqaddas20070311@gmail.com")</f>
        <v>muqaddas20070311@gmail.com</v>
      </c>
      <c r="I65" s="61" t="str">
        <f>IFERROR(__xludf.DUMMYFUNCTION("""COMPUTED_VALUE"""),"muqaddas20070311@gmail.com")</f>
        <v>muqaddas20070311@gmail.com</v>
      </c>
      <c r="J65" s="61" t="str">
        <f>IFERROR(__xludf.DUMMYFUNCTION("""COMPUTED_VALUE"""),"Tasheknt, Uzbekistan")</f>
        <v>Tasheknt, Uzbekistan</v>
      </c>
      <c r="K65" s="61" t="str">
        <f>IFERROR(__xludf.DUMMYFUNCTION("""COMPUTED_VALUE"""),"Uzbek")</f>
        <v>Uzbek</v>
      </c>
      <c r="L65" s="64" t="str">
        <f>IFERROR(__xludf.DUMMYFUNCTION("""COMPUTED_VALUE"""),"+998935109991")</f>
        <v>+998935109991</v>
      </c>
      <c r="M65" s="64">
        <f>IFERROR(__xludf.DUMMYFUNCTION("""COMPUTED_VALUE"""),39152.0)</f>
        <v>39152</v>
      </c>
      <c r="N65" s="61" t="str">
        <f>IFERROR(__xludf.DUMMYFUNCTION("""COMPUTED_VALUE"""),"AD2906882")</f>
        <v>AD2906882</v>
      </c>
      <c r="O65" s="61" t="str">
        <f>IFERROR(__xludf.DUMMYFUNCTION("""COMPUTED_VALUE"""),"+998934617911")</f>
        <v>+998934617911</v>
      </c>
      <c r="P65" s="61"/>
      <c r="Q65" s="61"/>
      <c r="R65" s="61"/>
      <c r="S65" s="61" t="str">
        <f>IFERROR(__xludf.DUMMYFUNCTION("""COMPUTED_VALUE"""),"IMG_20260625_134810.jpg")</f>
        <v>IMG_20260625_134810.jpg</v>
      </c>
      <c r="T65" s="61" t="str">
        <f>IFERROR(__xludf.DUMMYFUNCTION("""COMPUTED_VALUE"""),"IMG_20260609_013557_977.jpg")</f>
        <v>IMG_20260609_013557_977.jpg</v>
      </c>
      <c r="U65" s="61" t="str">
        <f>IFERROR(__xludf.DUMMYFUNCTION("""COMPUTED_VALUE"""),"Bechalors")</f>
        <v>Bechalors</v>
      </c>
      <c r="V65" s="61" t="str">
        <f>IFERROR(__xludf.DUMMYFUNCTION("""COMPUTED_VALUE"""),"Bechalors")</f>
        <v>Bechalors</v>
      </c>
      <c r="W65" s="61" t="str">
        <f>IFERROR(__xludf.DUMMYFUNCTION("""COMPUTED_VALUE"""),"Filology")</f>
        <v>Filology</v>
      </c>
      <c r="X65" s="61" t="str">
        <f>IFERROR(__xludf.DUMMYFUNCTION("""COMPUTED_VALUE"""),"Tashkent State University of Oriental Studies")</f>
        <v>Tashkent State University of Oriental Studies</v>
      </c>
      <c r="Y65" s="61" t="str">
        <f>IFERROR(__xludf.DUMMYFUNCTION("""COMPUTED_VALUE"""),"Yes")</f>
        <v>Yes</v>
      </c>
      <c r="Z65" s="61" t="str">
        <f>IFERROR(__xludf.DUMMYFUNCTION("""COMPUTED_VALUE"""),"Uzbekistan")</f>
        <v>Uzbekistan</v>
      </c>
      <c r="AA65" s="61" t="str">
        <f>IFERROR(__xludf.DUMMYFUNCTION("""COMPUTED_VALUE"""),"No")</f>
        <v>No</v>
      </c>
      <c r="AB65" s="61"/>
      <c r="AC65" s="61"/>
      <c r="AD65" s="61" t="str">
        <f>IFERROR(__xludf.DUMMYFUNCTION("""COMPUTED_VALUE"""),"None")</f>
        <v>None</v>
      </c>
      <c r="AE65" s="61"/>
      <c r="AF65" s="61"/>
      <c r="AG65" s="61"/>
      <c r="AH65" s="61" t="str">
        <f>IFERROR(__xludf.DUMMYFUNCTION("""COMPUTED_VALUE"""),"No")</f>
        <v>No</v>
      </c>
      <c r="AI65" s="61"/>
      <c r="AJ65" s="61"/>
      <c r="AK65" s="61"/>
      <c r="AL65" s="61" t="str">
        <f>IFERROR(__xludf.DUMMYFUNCTION("""COMPUTED_VALUE"""),"Translater")</f>
        <v>Translater</v>
      </c>
      <c r="AM65" s="61" t="str">
        <f>IFERROR(__xludf.DUMMYFUNCTION("""COMPUTED_VALUE"""),"resume.docx")</f>
        <v>resume.docx</v>
      </c>
      <c r="AN65" s="61" t="str">
        <f>IFERROR(__xludf.DUMMYFUNCTION("""COMPUTED_VALUE"""),"Yes, I have always believed that meaningful change starts with small actions. As a university student, I try to contribute by promoting education, intercultural understanding, and youth engagement. I often assist my peers in academic activities, share edu"&amp;"cational resources, and encourage discussions about global issues. Learning English and studying international relations have allowed me to connect with people from different backgrounds and perspectives. I believe that building understanding between cult"&amp;"ures is one of the most effective ways to create a peaceful world. Through continuous learning and community involvement, I aim to make a positive impact that extends beyond my immediate environment.")</f>
        <v>Yes, I have always believed that meaningful change starts with small actions. As a university student, I try to contribute by promoting education, intercultural understanding, and youth engagement. I often assist my peers in academic activities, share educational resources, and encourage discussions about global issues. Learning English and studying international relations have allowed me to connect with people from different backgrounds and perspectives. I believe that building understanding between cultures is one of the most effective ways to create a peaceful world. Through continuous learning and community involvement, I aim to make a positive impact that extends beyond my immediate environment.</v>
      </c>
      <c r="AO65" s="61" t="str">
        <f>IFERROR(__xludf.DUMMYFUNCTION("""COMPUTED_VALUE"""),"I believe Indonesia is one of the most diplomatically significant countries in today's world. As the largest economy in Southeast Asia and a leading member of ASEAN, Indonesia plays a vital role in promoting regional stability, cooperation, and dialogue. "&amp;"Its foreign policy often emphasizes peace, neutrality, and constructive engagement between nations. Indonesia's cultural diversity also makes it a powerful example of coexistence and mutual respect. In an increasingly interconnected world, countries that "&amp;"can bridge different cultures and perspectives are especially important. Indonesia's growing influence demonstrates how diplomacy can foster development, understanding, and international collaboration.")</f>
        <v>I believe Indonesia is one of the most diplomatically significant countries in today's world. As the largest economy in Southeast Asia and a leading member of ASEAN, Indonesia plays a vital role in promoting regional stability, cooperation, and dialogue. Its foreign policy often emphasizes peace, neutrality, and constructive engagement between nations. Indonesia's cultural diversity also makes it a powerful example of coexistence and mutual respect. In an increasingly interconnected world, countries that can bridge different cultures and perspectives are especially important. Indonesia's growing influence demonstrates how diplomacy can foster development, understanding, and international collaboration.</v>
      </c>
      <c r="AP65" s="61" t="str">
        <f>IFERROR(__xludf.DUMMYFUNCTION("""COMPUTED_VALUE"""),"Youth play a crucial role in diplomacy because they represent the future of international cooperation and global leadership. In today's interconnected world, young people have the ability to influence opinions, build cross-cultural relationships, and prom"&amp;"ote mutual understanding through education, technology, and communication.
I relate strongly to the concept of public diplomacy because I believe diplomacy is no longer limited to government officials. Students, researchers, social activists, and young le"&amp;"aders can also serve as bridges between cultures. Through language learning, academic engagement, and intercultural dialogue, young people can challenge stereotypes and create meaningful connections across borders.
As a student of Oriental Studies, I am p"&amp;"articularly interested in understanding different cultures, histories, and political systems. Learning about diverse societies has strengthened my belief that respect and dialogue are essential for solving global challenges. Public diplomacy provides a pl"&amp;"atform where young people can exchange ideas, share experiences, and contribute to peacebuilding efforts.
Participating in international programs such as YPDS would allow me to expand my knowledge, develop leadership skills, and collaborate with youth fro"&amp;"m around the world. I hope to use these experiences to promote intercultural understanding and encourage constructive dialogue in my community and beyond.")</f>
        <v>Youth play a crucial role in diplomacy because they represent the future of international cooperation and global leadership. In today's interconnected world, young people have the ability to influence opinions, build cross-cultural relationships, and promote mutual understanding through education, technology, and communication.
I relate strongly to the concept of public diplomacy because I believe diplomacy is no longer limited to government officials. Students, researchers, social activists, and young leaders can also serve as bridges between cultures. Through language learning, academic engagement, and intercultural dialogue, young people can challenge stereotypes and create meaningful connections across borders.
As a student of Oriental Studies, I am particularly interested in understanding different cultures, histories, and political systems. Learning about diverse societies has strengthened my belief that respect and dialogue are essential for solving global challenges. Public diplomacy provides a platform where young people can exchange ideas, share experiences, and contribute to peacebuilding efforts.
Participating in international programs such as YPDS would allow me to expand my knowledge, develop leadership skills, and collaborate with youth from around the world. I hope to use these experiences to promote intercultural understanding and encourage constructive dialogue in my community and beyond.</v>
      </c>
      <c r="AQ65" s="61" t="str">
        <f>IFERROR(__xludf.DUMMYFUNCTION("""COMPUTED_VALUE"""),"Passion is the inner drive that motivates people to pursue their goals despite challenges and obstacles. It provides purpose, determination, and the willingness to keep learning even when progress seems slow.
My passion lies in international relations, di"&amp;"plomacy, and intercultural communication. This passion motivates me to improve my English proficiency, expand my academic knowledge, and actively seek opportunities that broaden my perspective. Whenever I face difficulties, passion reminds me why I starte"&amp;"d and encourages me to continue working toward my goals.
Passion transforms ordinary effort into meaningful commitment. It helps individuals remain focused, resilient, and adaptable in a rapidly changing world. For me, passion is not only about personal s"&amp;"uccess but also about contributing positively to society. It inspires me to become a responsible global citizen who promotes dialogue, understanding, and cooperation among people from different cultures and backgrounds.")</f>
        <v>Passion is the inner drive that motivates people to pursue their goals despite challenges and obstacles. It provides purpose, determination, and the willingness to keep learning even when progress seems slow.
My passion lies in international relations, diplomacy, and intercultural communication. This passion motivates me to improve my English proficiency, expand my academic knowledge, and actively seek opportunities that broaden my perspective. Whenever I face difficulties, passion reminds me why I started and encourages me to continue working toward my goals.
Passion transforms ordinary effort into meaningful commitment. It helps individuals remain focused, resilient, and adaptable in a rapidly changing world. For me, passion is not only about personal success but also about contributing positively to society. It inspires me to become a responsible global citizen who promotes dialogue, understanding, and cooperation among people from different cultures and backgrounds.</v>
      </c>
      <c r="AR65" s="61" t="str">
        <f>IFERROR(__xludf.DUMMYFUNCTION("""COMPUTED_VALUE"""),"Yes, I consider myself a creative person because I enjoy finding innovative ways to communicate ideas and connect with people from different backgrounds. Creativity is an essential skill in public diplomacy because effective communication requires more th"&amp;"an facts; it requires stories, empathy, and cultural understanding.
I believe creative public diplomacy should focus on people-to-people connections. One strategy I would promote is using digital storytelling to highlight cultural similarities between dif"&amp;"ferent nations. Through short videos, social media campaigns, and youth-led discussions, people can learn about each other's traditions, values, and experiences in an engaging way.
As a student, I have learned that many misunderstandings arise from a lack"&amp;" of communication rather than actual differences. Creative platforms can help overcome these barriers by making dialogue accessible and relatable. I would also encourage virtual cultural exchange projects where young people collaborate on common challenge"&amp;"s and share solutions from their local communities.
By combining creativity, technology, and intercultural dialogue, public diplomacy can become more inclusive and impactful. Such approaches help build trust, reduce stereotypes, and strengthen internation"&amp;"al relationships among future generations of global leaders.")</f>
        <v>Yes, I consider myself a creative person because I enjoy finding innovative ways to communicate ideas and connect with people from different backgrounds. Creativity is an essential skill in public diplomacy because effective communication requires more than facts; it requires stories, empathy, and cultural understanding.
I believe creative public diplomacy should focus on people-to-people connections. One strategy I would promote is using digital storytelling to highlight cultural similarities between different nations. Through short videos, social media campaigns, and youth-led discussions, people can learn about each other's traditions, values, and experiences in an engaging way.
As a student, I have learned that many misunderstandings arise from a lack of communication rather than actual differences. Creative platforms can help overcome these barriers by making dialogue accessible and relatable. I would also encourage virtual cultural exchange projects where young people collaborate on common challenges and share solutions from their local communities.
By combining creativity, technology, and intercultural dialogue, public diplomacy can become more inclusive and impactful. Such approaches help build trust, reduce stereotypes, and strengthen international relationships among future generations of global leaders.</v>
      </c>
      <c r="AS65" s="61" t="str">
        <f>IFERROR(__xludf.DUMMYFUNCTION("""COMPUTED_VALUE"""),"No")</f>
        <v>No</v>
      </c>
      <c r="AT65" s="61" t="str">
        <f>IFERROR(__xludf.DUMMYFUNCTION("""COMPUTED_VALUE"""),"No")</f>
        <v>No</v>
      </c>
      <c r="AU65" s="61" t="str">
        <f>IFERROR(__xludf.DUMMYFUNCTION("""COMPUTED_VALUE"""),"Global Politics, Diplomacy &amp; Identities")</f>
        <v>Global Politics, Diplomacy &amp; Identities</v>
      </c>
      <c r="AV65" s="61" t="str">
        <f>IFERROR(__xludf.DUMMYFUNCTION("""COMPUTED_VALUE"""),"My University's official channel on telegram")</f>
        <v>My University's official channel on telegram</v>
      </c>
      <c r="AW65" s="61" t="str">
        <f>IFERROR(__xludf.DUMMYFUNCTION("""COMPUTED_VALUE"""),"Public Diplomacy in the 21st Century")</f>
        <v>Public Diplomacy in the 21st Century</v>
      </c>
      <c r="AX65" s="66" t="str">
        <f>IFERROR(__xludf.DUMMYFUNCTION("""COMPUTED_VALUE"""),"Yes")</f>
        <v>Yes</v>
      </c>
      <c r="AY65" s="66">
        <f>IFERROR(__xludf.DUMMYFUNCTION("""COMPUTED_VALUE"""),15.99)</f>
        <v>15.99</v>
      </c>
      <c r="AZ65" s="61"/>
      <c r="BA65" s="61"/>
      <c r="BB65" s="61"/>
      <c r="BC65" s="61"/>
      <c r="BD65" s="61"/>
      <c r="BE65" s="61"/>
      <c r="BF65" s="61"/>
      <c r="BG65" s="61"/>
      <c r="BH65" s="61"/>
      <c r="BI65" s="61"/>
      <c r="BJ65" s="61"/>
      <c r="BK65" s="61"/>
      <c r="BL65" s="61"/>
      <c r="BM65" s="61"/>
      <c r="BN65" s="61"/>
      <c r="BO65" s="61"/>
      <c r="BP65" s="61"/>
      <c r="BQ65" s="61"/>
      <c r="BR65" s="61"/>
    </row>
    <row r="66" ht="15.75" customHeight="1">
      <c r="A66" s="61" t="str">
        <f>IFERROR(__xludf.DUMMYFUNCTION("""COMPUTED_VALUE"""),"Self")</f>
        <v>Self</v>
      </c>
      <c r="B66" s="62">
        <f>IFERROR(__xludf.DUMMYFUNCTION("""COMPUTED_VALUE"""),81.0)</f>
        <v>81</v>
      </c>
      <c r="C66" s="61" t="str">
        <f>IFERROR(__xludf.DUMMYFUNCTION("""COMPUTED_VALUE"""),"Self")</f>
        <v>Self</v>
      </c>
      <c r="D66" s="63" t="str">
        <f>IFERROR(__xludf.DUMMYFUNCTION("""COMPUTED_VALUE"""),"Submitted")</f>
        <v>Submitted</v>
      </c>
      <c r="E66" s="63">
        <f>IFERROR(__xludf.DUMMYFUNCTION("""COMPUTED_VALUE"""),46202.15902777778)</f>
        <v>46202.15903</v>
      </c>
      <c r="F66" s="61" t="str">
        <f>IFERROR(__xludf.DUMMYFUNCTION("""COMPUTED_VALUE"""),"menna rabie")</f>
        <v>menna rabie</v>
      </c>
      <c r="G66" s="61" t="str">
        <f>IFERROR(__xludf.DUMMYFUNCTION("""COMPUTED_VALUE"""),"Menna Adel Rabie")</f>
        <v>Menna Adel Rabie</v>
      </c>
      <c r="H66" s="61" t="str">
        <f>IFERROR(__xludf.DUMMYFUNCTION("""COMPUTED_VALUE"""),"manonaadel21@gmail.com")</f>
        <v>manonaadel21@gmail.com</v>
      </c>
      <c r="I66" s="61" t="str">
        <f>IFERROR(__xludf.DUMMYFUNCTION("""COMPUTED_VALUE"""),"mennarabie.ma@gmail.com")</f>
        <v>mennarabie.ma@gmail.com</v>
      </c>
      <c r="J66" s="61" t="str">
        <f>IFERROR(__xludf.DUMMYFUNCTION("""COMPUTED_VALUE"""),"شارع الشيخ كامل خضر - حي السفارات, 5 عمارات صن رايز الدور 801, Nasr City, Egypt")</f>
        <v>شارع الشيخ كامل خضر - حي السفارات, 5 عمارات صن رايز الدور 801, Nasr City, Egypt</v>
      </c>
      <c r="K66" s="61" t="str">
        <f>IFERROR(__xludf.DUMMYFUNCTION("""COMPUTED_VALUE"""),"Egyptian")</f>
        <v>Egyptian</v>
      </c>
      <c r="L66" s="64" t="str">
        <f>IFERROR(__xludf.DUMMYFUNCTION("""COMPUTED_VALUE"""),"+201144198433")</f>
        <v>+201144198433</v>
      </c>
      <c r="M66" s="64">
        <f>IFERROR(__xludf.DUMMYFUNCTION("""COMPUTED_VALUE"""),37606.0)</f>
        <v>37606</v>
      </c>
      <c r="N66" s="61" t="str">
        <f>IFERROR(__xludf.DUMMYFUNCTION("""COMPUTED_VALUE"""),"A40225560")</f>
        <v>A40225560</v>
      </c>
      <c r="O66" s="61" t="str">
        <f>IFERROR(__xludf.DUMMYFUNCTION("""COMPUTED_VALUE"""),"01000640677")</f>
        <v>01000640677</v>
      </c>
      <c r="P66" s="61"/>
      <c r="Q66" s="61"/>
      <c r="R66" s="61"/>
      <c r="S66" s="61" t="str">
        <f>IFERROR(__xludf.DUMMYFUNCTION("""COMPUTED_VALUE"""),"1782686080787163924699483319387.jpg")</f>
        <v>1782686080787163924699483319387.jpg</v>
      </c>
      <c r="T66" s="61" t="str">
        <f>IFERROR(__xludf.DUMMYFUNCTION("""COMPUTED_VALUE"""),"01 (231) (1).JPG")</f>
        <v>01 (231) (1).JPG</v>
      </c>
      <c r="U66" s="61" t="str">
        <f>IFERROR(__xludf.DUMMYFUNCTION("""COMPUTED_VALUE"""),"Becholar")</f>
        <v>Becholar</v>
      </c>
      <c r="V66" s="61" t="str">
        <f>IFERROR(__xludf.DUMMYFUNCTION("""COMPUTED_VALUE"""),"1st Medical Interenship")</f>
        <v>1st Medical Interenship</v>
      </c>
      <c r="W66" s="61" t="str">
        <f>IFERROR(__xludf.DUMMYFUNCTION("""COMPUTED_VALUE"""),"Medicine")</f>
        <v>Medicine</v>
      </c>
      <c r="X66" s="61" t="str">
        <f>IFERROR(__xludf.DUMMYFUNCTION("""COMPUTED_VALUE"""),"Badr university of Cairo")</f>
        <v>Badr university of Cairo</v>
      </c>
      <c r="Y66" s="61" t="str">
        <f>IFERROR(__xludf.DUMMYFUNCTION("""COMPUTED_VALUE"""),"Yes")</f>
        <v>Yes</v>
      </c>
      <c r="Z66" s="61" t="str">
        <f>IFERROR(__xludf.DUMMYFUNCTION("""COMPUTED_VALUE"""),"Egypt")</f>
        <v>Egypt</v>
      </c>
      <c r="AA66" s="61" t="str">
        <f>IFERROR(__xludf.DUMMYFUNCTION("""COMPUTED_VALUE"""),"No")</f>
        <v>No</v>
      </c>
      <c r="AB66" s="61"/>
      <c r="AC66" s="61" t="str">
        <f>IFERROR(__xludf.DUMMYFUNCTION("""COMPUTED_VALUE"""),"Yes")</f>
        <v>Yes</v>
      </c>
      <c r="AD66" s="61" t="str">
        <f>IFERROR(__xludf.DUMMYFUNCTION("""COMPUTED_VALUE"""),"Yes,I have volunteerd t Resala Charity for 8 years , Egyptian Red Crescent for 1year")</f>
        <v>Yes,I have volunteerd t Resala Charity for 8 years , Egyptian Red Crescent for 1year</v>
      </c>
      <c r="AE66" s="61"/>
      <c r="AF66" s="61" t="str">
        <f>IFERROR(__xludf.DUMMYFUNCTION("""COMPUTED_VALUE"""),"Head of Medical Campaigns at Resala Charity, Member at Egyptian Red Crescent")</f>
        <v>Head of Medical Campaigns at Resala Charity, Member at Egyptian Red Crescent</v>
      </c>
      <c r="AG66" s="61" t="str">
        <f>IFERROR(__xludf.DUMMYFUNCTION("""COMPUTED_VALUE"""),"8 years at Resala Charity,1year at Egyptian Red Crescent")</f>
        <v>8 years at Resala Charity,1year at Egyptian Red Crescent</v>
      </c>
      <c r="AH66" s="61" t="str">
        <f>IFERROR(__xludf.DUMMYFUNCTION("""COMPUTED_VALUE"""),"No")</f>
        <v>No</v>
      </c>
      <c r="AI66" s="61"/>
      <c r="AJ66" s="61" t="str">
        <f>IFERROR(__xludf.DUMMYFUNCTION("""COMPUTED_VALUE"""),"Yes, I have founded Youth organization called World Health organization simulated at Badr University of Cairo (WHO.SIM.BUC)")</f>
        <v>Yes, I have founded Youth organization called World Health organization simulated at Badr University of Cairo (WHO.SIM.BUC)</v>
      </c>
      <c r="AK66" s="61" t="str">
        <f>IFERROR(__xludf.DUMMYFUNCTION("""COMPUTED_VALUE"""),"The aim is improving the clinical and social skills of medical students and providing health awareness for the non medical people")</f>
        <v>The aim is improving the clinical and social skills of medical students and providing health awareness for the non medical people</v>
      </c>
      <c r="AL66" s="61" t="str">
        <f>IFERROR(__xludf.DUMMYFUNCTION("""COMPUTED_VALUE"""),"Microsoft Word Skillful • Microsoft PowerPoint Skillful Project management Strategic thinking Team engagement Team building Negotiation Strategic vision Start-up operations Human resources Visionary leadership Recruitment and hiring Time management abilit"&amp;"ies Ethical considerations")</f>
        <v>Microsoft Word Skillful • Microsoft PowerPoint Skillful Project management Strategic thinking Team engagement Team building Negotiation Strategic vision Start-up operations Human resources Visionary leadership Recruitment and hiring Time management abilities Ethical considerations</v>
      </c>
      <c r="AM66" s="61" t="str">
        <f>IFERROR(__xludf.DUMMYFUNCTION("""COMPUTED_VALUE"""),"Menna_AdelRabie_Resume (1).pdf")</f>
        <v>Menna_AdelRabie_Resume (1).pdf</v>
      </c>
      <c r="AN66" s="61" t="str">
        <f>IFERROR(__xludf.DUMMYFUNCTION("""COMPUTED_VALUE"""),"I have been volunteering since secondary school because I believe that changing the world starts with changing ourselves. My experience at Resala Charity taught me that volunteering is about humanity, compassion, and responsibility, not only providing lif"&amp;"e essentials. I then joined the Medical Campaigns at the Egyptian Red Crescent and later became the Head of Medical Campaigns at Resala Charity for one year, where I led healthcare projects for people in need. These experiences inspired me to found WHO.SI"&amp;"M.BUC at my university to encourage medical students to serve their communities with compassion, regardless of religion, nationality, beliefs, or social background.")</f>
        <v>I have been volunteering since secondary school because I believe that changing the world starts with changing ourselves. My experience at Resala Charity taught me that volunteering is about humanity, compassion, and responsibility, not only providing life essentials. I then joined the Medical Campaigns at the Egyptian Red Crescent and later became the Head of Medical Campaigns at Resala Charity for one year, where I led healthcare projects for people in need. These experiences inspired me to found WHO.SIM.BUC at my university to encourage medical students to serve their communities with compassion, regardless of religion, nationality, beliefs, or social background.</v>
      </c>
      <c r="AO66" s="61" t="str">
        <f>IFERROR(__xludf.DUMMYFUNCTION("""COMPUTED_VALUE"""),"I believe that no single country is the most diplomatically significant because every nation plays an important role in international cooperation. Countries that promote peace, humanitarian assistance, and constructive dialogue have the greatest global im"&amp;"pact. I especially admire nations that invest in healthcare, education, scientific research, and sustainable development while respecting cultural diversity and human dignity. Strong diplomacy is not only about political influence but also about building "&amp;"trust, resolving conflicts peacefully, and creating opportunities for collaboration. In my opinion, the most significant countries are those that use their influence to improve lives and strengthen international partnerships for everyone.")</f>
        <v>I believe that no single country is the most diplomatically significant because every nation plays an important role in international cooperation. Countries that promote peace, humanitarian assistance, and constructive dialogue have the greatest global impact. I especially admire nations that invest in healthcare, education, scientific research, and sustainable development while respecting cultural diversity and human dignity. Strong diplomacy is not only about political influence but also about building trust, resolving conflicts peacefully, and creating opportunities for collaboration. In my opinion, the most significant countries are those that use their influence to improve lives and strengthen international partnerships for everyone.</v>
      </c>
      <c r="AP66" s="61" t="str">
        <f>IFERROR(__xludf.DUMMYFUNCTION("""COMPUTED_VALUE"""),"In my opinion, youth play an essential role in diplomacy because they can communicate the real needs, challenges, and aspirations of their generation. Diplomats have many responsibilities and cannot always understand every level of society directly. There"&amp;"fore, young people should actively participate in public discussions and decision-making to ensure that youth voices are heard.
I believe that diplomacy becomes more effective when young people are involved in shaping solutions for their communities. Sin"&amp;"ce they understand the challenges they face, they can suggest practical ideas and inspire other young people to contribute to positive change. If we empower youth, we can strengthen communities, and stronger communities can help create a better world.
I "&amp;"relate strongly to the idea of public diplomacy because I believe that every volunteer, student, and healthcare worker can represent their country through their values and actions. My experiences with Resala Charity, the Egyptian Red Crescent, and foundin"&amp;"g WHO.SIM.BUC taught me that serving people regardless of their religion, nationality, or beliefs builds trust and mutual respect. I believe public diplomacy is not only the responsibility of governments but also of ordinary citizens who promote cooperati"&amp;"on, humanity, and understanding through their daily actions.")</f>
        <v>In my opinion, youth play an essential role in diplomacy because they can communicate the real needs, challenges, and aspirations of their generation. Diplomats have many responsibilities and cannot always understand every level of society directly. Therefore, young people should actively participate in public discussions and decision-making to ensure that youth voices are heard.
I believe that diplomacy becomes more effective when young people are involved in shaping solutions for their communities. Since they understand the challenges they face, they can suggest practical ideas and inspire other young people to contribute to positive change. If we empower youth, we can strengthen communities, and stronger communities can help create a better world.
I relate strongly to the idea of public diplomacy because I believe that every volunteer, student, and healthcare worker can represent their country through their values and actions. My experiences with Resala Charity, the Egyptian Red Crescent, and founding WHO.SIM.BUC taught me that serving people regardless of their religion, nationality, or beliefs builds trust and mutual respect. I believe public diplomacy is not only the responsibility of governments but also of ordinary citizens who promote cooperation, humanity, and understanding through their daily actions.</v>
      </c>
      <c r="AQ66" s="61" t="str">
        <f>IFERROR(__xludf.DUMMYFUNCTION("""COMPUTED_VALUE"""),"For a long time, I wondered whether passion or responsibility is more important for success. At first, I believed that passion alone was enough to motivate people. However, through my experiences in volunteering and medicine, I changed my mindset.
I now "&amp;"believe that responsibility is what makes us start and continue working, even during difficult times. We fulfill our duties because other people depend on us, and that commitment keeps us moving forward. However, passion is the light that guides us toward"&amp;" the path where we can make the greatest impact. It helps us discover our strengths, enjoy the journey, and continue learning and improving ourselves.
When responsibility and passion come together, they create purpose. Responsibility gives us discipline,"&amp;" while passion gives us motivation, creativity, and resilience. Passion encourages us to explore new opportunities, develop new skills, and overcome challenges instead of giving up.
This belief has shaped my journey as a volunteer, a medical graduate, an"&amp;"d a student leader. Responsibility encouraged me to serve others, while passion inspired me to establish new initiatives, lead healthcare campaigns, and keep growing. I believe that true success comes when we accept our responsibilities and allow our pass"&amp;"ion to guide us toward meaningful and lasting contributions to society.")</f>
        <v>For a long time, I wondered whether passion or responsibility is more important for success. At first, I believed that passion alone was enough to motivate people. However, through my experiences in volunteering and medicine, I changed my mindset.
I now believe that responsibility is what makes us start and continue working, even during difficult times. We fulfill our duties because other people depend on us, and that commitment keeps us moving forward. However, passion is the light that guides us toward the path where we can make the greatest impact. It helps us discover our strengths, enjoy the journey, and continue learning and improving ourselves.
When responsibility and passion come together, they create purpose. Responsibility gives us discipline, while passion gives us motivation, creativity, and resilience. Passion encourages us to explore new opportunities, develop new skills, and overcome challenges instead of giving up.
This belief has shaped my journey as a volunteer, a medical graduate, and a student leader. Responsibility encouraged me to serve others, while passion inspired me to establish new initiatives, lead healthcare campaigns, and keep growing. I believe that true success comes when we accept our responsibilities and allow our passion to guide us toward meaningful and lasting contributions to society.</v>
      </c>
      <c r="AR66" s="61" t="str">
        <f>IFERROR(__xludf.DUMMYFUNCTION("""COMPUTED_VALUE"""),"Yes, I consider myself a creative person because I enjoy finding practical solutions to community challenges. As my specialty is healthcare, I often think about innovative ways to improve the health system in my country and encourage healthier communities"&amp;".
One of the most effective tools is social media because it is accessible to almost everyone, especially young people. I would use it to spread reliable health information, raise awareness about healthy lifestyles, and encourage disease prevention. I wo"&amp;"uld also focus on topics that still carry stigma in my community, such as mental health, to encourage people to seek professional help without fear or shame.
In addition, I would organize projects, competitions, and community campaigns that motivate youn"&amp;"g people to adopt healthier habits and participate in health-related initiatives. These activities would also create opportunities for teamwork, innovation, and community engagement.
I believe that a healthy society is the foundation of a strong nation. "&amp;"By combining healthcare, creativity, and public engagement, we can improve people's well-being while presenting a positive image of our country. Public diplomacy is not only about representing a nation abroad but also about building a healthier, more info"&amp;"rmed, and more connected society that reflects our values of compassion, cooperation, and progress.")</f>
        <v>Yes, I consider myself a creative person because I enjoy finding practical solutions to community challenges. As my specialty is healthcare, I often think about innovative ways to improve the health system in my country and encourage healthier communities.
One of the most effective tools is social media because it is accessible to almost everyone, especially young people. I would use it to spread reliable health information, raise awareness about healthy lifestyles, and encourage disease prevention. I would also focus on topics that still carry stigma in my community, such as mental health, to encourage people to seek professional help without fear or shame.
In addition, I would organize projects, competitions, and community campaigns that motivate young people to adopt healthier habits and participate in health-related initiatives. These activities would also create opportunities for teamwork, innovation, and community engagement.
I believe that a healthy society is the foundation of a strong nation. By combining healthcare, creativity, and public engagement, we can improve people's well-being while presenting a positive image of our country. Public diplomacy is not only about representing a nation abroad but also about building a healthier, more informed, and more connected society that reflects our values of compassion, cooperation, and progress.</v>
      </c>
      <c r="AS66" s="61" t="str">
        <f>IFERROR(__xludf.DUMMYFUNCTION("""COMPUTED_VALUE"""),"Yes")</f>
        <v>Yes</v>
      </c>
      <c r="AT66" s="61" t="str">
        <f>IFERROR(__xludf.DUMMYFUNCTION("""COMPUTED_VALUE"""),"Yes")</f>
        <v>Yes</v>
      </c>
      <c r="AU66" s="61" t="str">
        <f>IFERROR(__xludf.DUMMYFUNCTION("""COMPUTED_VALUE"""),"Global Politics, Diplomacy &amp; Identities")</f>
        <v>Global Politics, Diplomacy &amp; Identities</v>
      </c>
      <c r="AV66" s="61" t="str">
        <f>IFERROR(__xludf.DUMMYFUNCTION("""COMPUTED_VALUE"""),"Scholarships Portal")</f>
        <v>Scholarships Portal</v>
      </c>
      <c r="AW66" s="61" t="str">
        <f>IFERROR(__xludf.DUMMYFUNCTION("""COMPUTED_VALUE"""),"Young Public Diplomacy Summit - Jakarta, Indonesia 2026")</f>
        <v>Young Public Diplomacy Summit - Jakarta, Indonesia 2026</v>
      </c>
      <c r="AX66" s="66" t="str">
        <f>IFERROR(__xludf.DUMMYFUNCTION("""COMPUTED_VALUE"""),"Yes")</f>
        <v>Yes</v>
      </c>
      <c r="AY66" s="66">
        <f>IFERROR(__xludf.DUMMYFUNCTION("""COMPUTED_VALUE"""),15.99)</f>
        <v>15.99</v>
      </c>
      <c r="AZ66" s="61"/>
      <c r="BA66" s="61"/>
      <c r="BB66" s="61"/>
      <c r="BC66" s="61"/>
      <c r="BD66" s="61"/>
      <c r="BE66" s="61"/>
      <c r="BF66" s="61"/>
      <c r="BG66" s="61"/>
      <c r="BH66" s="61"/>
      <c r="BI66" s="61"/>
      <c r="BJ66" s="61"/>
      <c r="BK66" s="61"/>
      <c r="BL66" s="61"/>
      <c r="BM66" s="61"/>
      <c r="BN66" s="61"/>
      <c r="BO66" s="61"/>
      <c r="BP66" s="61"/>
      <c r="BQ66" s="61"/>
      <c r="BR66" s="61"/>
    </row>
    <row r="67" ht="15.75" customHeight="1">
      <c r="A67" s="61" t="str">
        <f>IFERROR(__xludf.DUMMYFUNCTION("""COMPUTED_VALUE"""),"Partial/Full")</f>
        <v>Partial/Full</v>
      </c>
      <c r="B67" s="62">
        <f>IFERROR(__xludf.DUMMYFUNCTION("""COMPUTED_VALUE"""),83.0)</f>
        <v>83</v>
      </c>
      <c r="C67" s="61" t="str">
        <f>IFERROR(__xludf.DUMMYFUNCTION("""COMPUTED_VALUE"""),"Partial")</f>
        <v>Partial</v>
      </c>
      <c r="D67" s="63" t="str">
        <f>IFERROR(__xludf.DUMMYFUNCTION("""COMPUTED_VALUE"""),"Submitted")</f>
        <v>Submitted</v>
      </c>
      <c r="E67" s="63">
        <f>IFERROR(__xludf.DUMMYFUNCTION("""COMPUTED_VALUE"""),46202.47430555556)</f>
        <v>46202.47431</v>
      </c>
      <c r="F67" s="61" t="str">
        <f>IFERROR(__xludf.DUMMYFUNCTION("""COMPUTED_VALUE"""),"Asherrizah Merlyen Celindro")</f>
        <v>Asherrizah Merlyen Celindro</v>
      </c>
      <c r="G67" s="61" t="str">
        <f>IFERROR(__xludf.DUMMYFUNCTION("""COMPUTED_VALUE"""),"Asherrizah Merlyen E. Celindro")</f>
        <v>Asherrizah Merlyen E. Celindro</v>
      </c>
      <c r="H67" s="61" t="str">
        <f>IFERROR(__xludf.DUMMYFUNCTION("""COMPUTED_VALUE"""),"asherrizahmerlyencelindro@gmail.com")</f>
        <v>asherrizahmerlyencelindro@gmail.com</v>
      </c>
      <c r="I67" s="61" t="str">
        <f>IFERROR(__xludf.DUMMYFUNCTION("""COMPUTED_VALUE"""),"asherrizah2003@gmail.com")</f>
        <v>asherrizah2003@gmail.com</v>
      </c>
      <c r="J67" s="61" t="str">
        <f>IFERROR(__xludf.DUMMYFUNCTION("""COMPUTED_VALUE"""),"B9 L2, Dama de Noche St., Ferrer Compound, Bagbag II, Rosario, Cavite, 4106, Philippines")</f>
        <v>B9 L2, Dama de Noche St., Ferrer Compound, Bagbag II, Rosario, Cavite, 4106, Philippines</v>
      </c>
      <c r="K67" s="61" t="str">
        <f>IFERROR(__xludf.DUMMYFUNCTION("""COMPUTED_VALUE"""),"Filipino")</f>
        <v>Filipino</v>
      </c>
      <c r="L67" s="64" t="str">
        <f>IFERROR(__xludf.DUMMYFUNCTION("""COMPUTED_VALUE"""),"+639214000809")</f>
        <v>+639214000809</v>
      </c>
      <c r="M67" s="64">
        <f>IFERROR(__xludf.DUMMYFUNCTION("""COMPUTED_VALUE"""),37938.0)</f>
        <v>37938</v>
      </c>
      <c r="N67" s="61" t="str">
        <f>IFERROR(__xludf.DUMMYFUNCTION("""COMPUTED_VALUE"""),"P2674626C")</f>
        <v>P2674626C</v>
      </c>
      <c r="O67" s="61" t="str">
        <f>IFERROR(__xludf.DUMMYFUNCTION("""COMPUTED_VALUE"""),"+639284332866")</f>
        <v>+639284332866</v>
      </c>
      <c r="P67" s="61" t="str">
        <f>IFERROR(__xludf.DUMMYFUNCTION("""COMPUTED_VALUE"""),"Asherrizah Merlyen Celindro")</f>
        <v>Asherrizah Merlyen Celindro</v>
      </c>
      <c r="Q67" s="61" t="str">
        <f>IFERROR(__xludf.DUMMYFUNCTION("""COMPUTED_VALUE"""),"@asherrizah | @rrindip")</f>
        <v>@asherrizah | @rrindip</v>
      </c>
      <c r="R67" s="61" t="str">
        <f>IFERROR(__xludf.DUMMYFUNCTION("""COMPUTED_VALUE"""),"Asherrizah Merlyen Celindro")</f>
        <v>Asherrizah Merlyen Celindro</v>
      </c>
      <c r="S67" s="61" t="str">
        <f>IFERROR(__xludf.DUMMYFUNCTION("""COMPUTED_VALUE"""),"IMG_1942.jpeg")</f>
        <v>IMG_1942.jpeg</v>
      </c>
      <c r="T67" s="61" t="str">
        <f>IFERROR(__xludf.DUMMYFUNCTION("""COMPUTED_VALUE"""),"IMG_8146.jpeg")</f>
        <v>IMG_8146.jpeg</v>
      </c>
      <c r="U67" s="61" t="str">
        <f>IFERROR(__xludf.DUMMYFUNCTION("""COMPUTED_VALUE"""),"Bachelors")</f>
        <v>Bachelors</v>
      </c>
      <c r="V67" s="61" t="str">
        <f>IFERROR(__xludf.DUMMYFUNCTION("""COMPUTED_VALUE"""),"BS Professional Studies")</f>
        <v>BS Professional Studies</v>
      </c>
      <c r="W67" s="61" t="str">
        <f>IFERROR(__xludf.DUMMYFUNCTION("""COMPUTED_VALUE"""),"Business &amp; Leadership")</f>
        <v>Business &amp; Leadership</v>
      </c>
      <c r="X67" s="61" t="str">
        <f>IFERROR(__xludf.DUMMYFUNCTION("""COMPUTED_VALUE"""),"Brigham Young University - Idaho")</f>
        <v>Brigham Young University - Idaho</v>
      </c>
      <c r="Y67" s="61" t="str">
        <f>IFERROR(__xludf.DUMMYFUNCTION("""COMPUTED_VALUE"""),"Yes")</f>
        <v>Yes</v>
      </c>
      <c r="Z67" s="61"/>
      <c r="AA67" s="61" t="str">
        <f>IFERROR(__xludf.DUMMYFUNCTION("""COMPUTED_VALUE"""),"No")</f>
        <v>No</v>
      </c>
      <c r="AB67" s="61"/>
      <c r="AC67" s="61" t="str">
        <f>IFERROR(__xludf.DUMMYFUNCTION("""COMPUTED_VALUE"""),"Yes")</f>
        <v>Yes</v>
      </c>
      <c r="AD67" s="61" t="str">
        <f>IFERROR(__xludf.DUMMYFUNCTION("""COMPUTED_VALUE"""),"Philippines Area Communication and Publishing Department")</f>
        <v>Philippines Area Communication and Publishing Department</v>
      </c>
      <c r="AE67" s="65" t="str">
        <f>IFERROR(__xludf.DUMMYFUNCTION("""COMPUTED_VALUE"""),"https://news-ph.churchofjesuschrist.org/")</f>
        <v>https://news-ph.churchofjesuschrist.org/</v>
      </c>
      <c r="AF67" s="61" t="str">
        <f>IFERROR(__xludf.DUMMYFUNCTION("""COMPUTED_VALUE"""),"Communication Specialist")</f>
        <v>Communication Specialist</v>
      </c>
      <c r="AG67" s="61" t="str">
        <f>IFERROR(__xludf.DUMMYFUNCTION("""COMPUTED_VALUE"""),"1")</f>
        <v>1</v>
      </c>
      <c r="AH67" s="61" t="str">
        <f>IFERROR(__xludf.DUMMYFUNCTION("""COMPUTED_VALUE"""),"No")</f>
        <v>No</v>
      </c>
      <c r="AI67" s="61"/>
      <c r="AJ67" s="61" t="str">
        <f>IFERROR(__xludf.DUMMYFUNCTION("""COMPUTED_VALUE"""),"No")</f>
        <v>No</v>
      </c>
      <c r="AK67" s="61"/>
      <c r="AL67" s="61" t="str">
        <f>IFERROR(__xludf.DUMMYFUNCTION("""COMPUTED_VALUE"""),"Writing")</f>
        <v>Writing</v>
      </c>
      <c r="AM67" s="61" t="str">
        <f>IFERROR(__xludf.DUMMYFUNCTION("""COMPUTED_VALUE"""),"ACelindro CV.pdf")</f>
        <v>ACelindro CV.pdf</v>
      </c>
      <c r="AN67" s="61" t="str">
        <f>IFERROR(__xludf.DUMMYFUNCTION("""COMPUTED_VALUE"""),"Yes. I have often thought about changing the world, but I realized that meaningful change begins with changing my own world first. For the past two years, I have served on the organizing team of international forums on law and religion, where I witnessed "&amp;"leaders from diverse faiths engage in respectful dialogue despite their differences. Their example reshaped my understanding of diplomacy and the importance of mutual respect. Inspired by these experiences, I strive to promote understanding through meanin"&amp;"gful dialogue. I believe lasting change begins with individuals who choose empathy, collaboration, and service to the common good.")</f>
        <v>Yes. I have often thought about changing the world, but I realized that meaningful change begins with changing my own world first. For the past two years, I have served on the organizing team of international forums on law and religion, where I witnessed leaders from diverse faiths engage in respectful dialogue despite their differences. Their example reshaped my understanding of diplomacy and the importance of mutual respect. Inspired by these experiences, I strive to promote understanding through meaningful dialogue. I believe lasting change begins with individuals who choose empathy, collaboration, and service to the common good.</v>
      </c>
      <c r="AO67" s="61" t="str">
        <f>IFERROR(__xludf.DUMMYFUNCTION("""COMPUTED_VALUE"""),"I believe Switzerland is one of the world's most diplomatically significant countries. Its longstanding neutrality and commitment to dialogue have made it a trusted venue for peace negotiations and international cooperation. To me, diplomatic significance"&amp;" is measured not by military or economic power alone, but by a nation's ability to build trust, facilitate dialogue, and unite countries with diverse interests. Effective diplomacy promotes peace, resolves disputes, and encourages collaboration on global "&amp;"challenges while respecting every nation's sovereignty. In an increasingly interconnected world, countries that foster understanding and cooperation leave a lasting impact on international stability and the common good.")</f>
        <v>I believe Switzerland is one of the world's most diplomatically significant countries. Its longstanding neutrality and commitment to dialogue have made it a trusted venue for peace negotiations and international cooperation. To me, diplomatic significance is measured not by military or economic power alone, but by a nation's ability to build trust, facilitate dialogue, and unite countries with diverse interests. Effective diplomacy promotes peace, resolves disputes, and encourages collaboration on global challenges while respecting every nation's sovereignty. In an increasingly interconnected world, countries that foster understanding and cooperation leave a lasting impact on international stability and the common good.</v>
      </c>
      <c r="AP67" s="61" t="str">
        <f>IFERROR(__xludf.DUMMYFUNCTION("""COMPUTED_VALUE"""),"Youth play a vital role in diplomacy because they bring fresh perspectives, openness to dialogue, and the willingness to build bridges across cultures. While they may not hold official diplomatic positions, young people can influence international underst"&amp;"anding through meaningful conversations, cultural exchange, volunteerism, and responsible communication. In many ways, diplomacy begins with how we treat people whose beliefs, backgrounds, and experiences differ from our own. I relate deeply to the idea o"&amp;"f public diplomacy because I have witnessed its impact firsthand. As I attended international forums on law and religion (as a staff), I observed individuals from different faiths engage in respectful dialogue despite their differences. Those experiences "&amp;"taught me that diplomacy is not merely about negotiating policies—it is also about cultivating trust, empathy, and mutual respect. Although I am only beginning my journey, I believe youth have the responsibility to represent their communities with integri"&amp;"ty and an open mind. By listening before speaking and seeking understanding before judgment, we can strengthen relationships between people and contribute to a more peaceful and cooperative world.")</f>
        <v>Youth play a vital role in diplomacy because they bring fresh perspectives, openness to dialogue, and the willingness to build bridges across cultures. While they may not hold official diplomatic positions, young people can influence international understanding through meaningful conversations, cultural exchange, volunteerism, and responsible communication. In many ways, diplomacy begins with how we treat people whose beliefs, backgrounds, and experiences differ from our own. I relate deeply to the idea of public diplomacy because I have witnessed its impact firsthand. As I attended international forums on law and religion (as a staff), I observed individuals from different faiths engage in respectful dialogue despite their differences. Those experiences taught me that diplomacy is not merely about negotiating policies—it is also about cultivating trust, empathy, and mutual respect. Although I am only beginning my journey, I believe youth have the responsibility to represent their communities with integrity and an open mind. By listening before speaking and seeking understanding before judgment, we can strengthen relationships between people and contribute to a more peaceful and cooperative world.</v>
      </c>
      <c r="AQ67" s="61" t="str">
        <f>IFERROR(__xludf.DUMMYFUNCTION("""COMPUTED_VALUE"""),"Passion is more than enthusiasm or discipline—it is the genuine desire to pursue something with purpose and commitment. While discipline helps me remain consistent, passion gives meaning to the effort I invest every day. When I set goals, I make sure they"&amp;" reflect what I truly value rather than what others expect of me. That personal conviction allows me to stay focused even when the journey becomes challenging or uncertain. My passion for diplomacy and meaningful dialogue motivates me to seek opportunitie"&amp;"s where I can learn, serve, and grow. It reminds me that achieving a goal is not simply about reaching an end, but about becoming the kind of person who can make a positive difference along the way. For me, passion transforms ambition into purposeful acti"&amp;"on and gives me the resilience to keep moving forward.")</f>
        <v>Passion is more than enthusiasm or discipline—it is the genuine desire to pursue something with purpose and commitment. While discipline helps me remain consistent, passion gives meaning to the effort I invest every day. When I set goals, I make sure they reflect what I truly value rather than what others expect of me. That personal conviction allows me to stay focused even when the journey becomes challenging or uncertain. My passion for diplomacy and meaningful dialogue motivates me to seek opportunities where I can learn, serve, and grow. It reminds me that achieving a goal is not simply about reaching an end, but about becoming the kind of person who can make a positive difference along the way. For me, passion transforms ambition into purposeful action and gives me the resilience to keep moving forward.</v>
      </c>
      <c r="AR67" s="61" t="str">
        <f>IFERROR(__xludf.DUMMYFUNCTION("""COMPUTED_VALUE"""),"Yes, I believe I am a creative person—not only in expressing ideas, but in finding ways to connect people and resolve misunderstandings. I have often found myself in the middle of disagreements between friends, listening to both sides without taking sides"&amp;". By understanding each person's perspective, I try to help them communicate more effectively and find common ground. These experiences taught me that creativity is not limited to art or innovation; it also lies in approaching conflicts with empathy, open"&amp;"-mindedness, and thoughtful solutions. I believe these qualities are essential in diplomacy. They have strengthened my communication and listening skills and inspired me to pursue a path where I can help bridge differences among people from diverse backgr"&amp;"ounds. An effective public diplomacy strategy begins with respect. A person representing a nation should be willing to listen, appreciate different beliefs and cultures, and engage in sincere dialogue. When people feel heard and valued, trust grows, misun"&amp;"derstandings decrease, and meaningful relationships are built. In this way, creativity becomes a tool for fostering mutual understanding and strengthening connections between nations.")</f>
        <v>Yes, I believe I am a creative person—not only in expressing ideas, but in finding ways to connect people and resolve misunderstandings. I have often found myself in the middle of disagreements between friends, listening to both sides without taking sides. By understanding each person's perspective, I try to help them communicate more effectively and find common ground. These experiences taught me that creativity is not limited to art or innovation; it also lies in approaching conflicts with empathy, open-mindedness, and thoughtful solutions. I believe these qualities are essential in diplomacy. They have strengthened my communication and listening skills and inspired me to pursue a path where I can help bridge differences among people from diverse backgrounds. An effective public diplomacy strategy begins with respect. A person representing a nation should be willing to listen, appreciate different beliefs and cultures, and engage in sincere dialogue. When people feel heard and valued, trust grows, misunderstandings decrease, and meaningful relationships are built. In this way, creativity becomes a tool for fostering mutual understanding and strengthening connections between nations.</v>
      </c>
      <c r="AS67" s="61" t="str">
        <f>IFERROR(__xludf.DUMMYFUNCTION("""COMPUTED_VALUE"""),"Yes")</f>
        <v>Yes</v>
      </c>
      <c r="AT67" s="61" t="str">
        <f>IFERROR(__xludf.DUMMYFUNCTION("""COMPUTED_VALUE"""),"Yes")</f>
        <v>Yes</v>
      </c>
      <c r="AU67" s="61" t="str">
        <f>IFERROR(__xludf.DUMMYFUNCTION("""COMPUTED_VALUE"""),"Philosophy, Media &amp; Diplomacy in International Relations")</f>
        <v>Philosophy, Media &amp; Diplomacy in International Relations</v>
      </c>
      <c r="AV67" s="61" t="str">
        <f>IFERROR(__xludf.DUMMYFUNCTION("""COMPUTED_VALUE"""),"Instagram")</f>
        <v>Instagram</v>
      </c>
      <c r="AW67" s="61" t="str">
        <f>IFERROR(__xludf.DUMMYFUNCTION("""COMPUTED_VALUE"""),"Public Diplomacy in the 21st Century")</f>
        <v>Public Diplomacy in the 21st Century</v>
      </c>
      <c r="AX67" s="66" t="str">
        <f>IFERROR(__xludf.DUMMYFUNCTION("""COMPUTED_VALUE"""),"Yes")</f>
        <v>Yes</v>
      </c>
      <c r="AY67" s="66">
        <f>IFERROR(__xludf.DUMMYFUNCTION("""COMPUTED_VALUE"""),15.99)</f>
        <v>15.99</v>
      </c>
      <c r="AZ67" s="61"/>
      <c r="BA67" s="61"/>
      <c r="BB67" s="61"/>
      <c r="BC67" s="61"/>
      <c r="BD67" s="61"/>
      <c r="BE67" s="61"/>
      <c r="BF67" s="61"/>
      <c r="BG67" s="61"/>
      <c r="BH67" s="61"/>
      <c r="BI67" s="61"/>
      <c r="BJ67" s="61"/>
      <c r="BK67" s="61"/>
      <c r="BL67" s="61"/>
      <c r="BM67" s="61"/>
      <c r="BN67" s="61"/>
      <c r="BO67" s="61"/>
      <c r="BP67" s="61"/>
      <c r="BQ67" s="61"/>
      <c r="BR67" s="61"/>
    </row>
    <row r="68" ht="15.75" customHeight="1">
      <c r="A68" s="61" t="str">
        <f>IFERROR(__xludf.DUMMYFUNCTION("""COMPUTED_VALUE"""),"partial")</f>
        <v>partial</v>
      </c>
      <c r="B68" s="62">
        <f>IFERROR(__xludf.DUMMYFUNCTION("""COMPUTED_VALUE"""),84.0)</f>
        <v>84</v>
      </c>
      <c r="C68" s="61" t="str">
        <f>IFERROR(__xludf.DUMMYFUNCTION("""COMPUTED_VALUE"""),"partial")</f>
        <v>partial</v>
      </c>
      <c r="D68" s="63" t="str">
        <f>IFERROR(__xludf.DUMMYFUNCTION("""COMPUTED_VALUE"""),"Submitted")</f>
        <v>Submitted</v>
      </c>
      <c r="E68" s="63">
        <f>IFERROR(__xludf.DUMMYFUNCTION("""COMPUTED_VALUE"""),46202.60555555556)</f>
        <v>46202.60556</v>
      </c>
      <c r="F68" s="61" t="str">
        <f>IFERROR(__xludf.DUMMYFUNCTION("""COMPUTED_VALUE"""),"Abdulbosit Alijonov")</f>
        <v>Abdulbosit Alijonov</v>
      </c>
      <c r="G68" s="61" t="str">
        <f>IFERROR(__xludf.DUMMYFUNCTION("""COMPUTED_VALUE"""),"Abdulbosit Alijonov")</f>
        <v>Abdulbosit Alijonov</v>
      </c>
      <c r="H68" s="61" t="str">
        <f>IFERROR(__xludf.DUMMYFUNCTION("""COMPUTED_VALUE"""),"alijonovabdulbosit10@gmail.com")</f>
        <v>alijonovabdulbosit10@gmail.com</v>
      </c>
      <c r="I68" s="61" t="str">
        <f>IFERROR(__xludf.DUMMYFUNCTION("""COMPUTED_VALUE"""),"habdulbosith@gmail.com")</f>
        <v>habdulbosith@gmail.com</v>
      </c>
      <c r="J68" s="61" t="str">
        <f>IFERROR(__xludf.DUMMYFUNCTION("""COMPUTED_VALUE"""),"Istiqlol street 10, Baghdad, Uzbekistan")</f>
        <v>Istiqlol street 10, Baghdad, Uzbekistan</v>
      </c>
      <c r="K68" s="61" t="str">
        <f>IFERROR(__xludf.DUMMYFUNCTION("""COMPUTED_VALUE"""),"Uzbek")</f>
        <v>Uzbek</v>
      </c>
      <c r="L68" s="64" t="str">
        <f>IFERROR(__xludf.DUMMYFUNCTION("""COMPUTED_VALUE"""),"+998939690058")</f>
        <v>+998939690058</v>
      </c>
      <c r="M68" s="64">
        <f>IFERROR(__xludf.DUMMYFUNCTION("""COMPUTED_VALUE"""),39906.0)</f>
        <v>39906</v>
      </c>
      <c r="N68" s="61" t="str">
        <f>IFERROR(__xludf.DUMMYFUNCTION("""COMPUTED_VALUE"""),"AE2187272")</f>
        <v>AE2187272</v>
      </c>
      <c r="O68" s="61" t="str">
        <f>IFERROR(__xludf.DUMMYFUNCTION("""COMPUTED_VALUE"""),"+998903005858")</f>
        <v>+998903005858</v>
      </c>
      <c r="P68" s="65" t="str">
        <f>IFERROR(__xludf.DUMMYFUNCTION("""COMPUTED_VALUE"""),"www.linkedin.com/in/abdulbosit-alijonov-88b593374")</f>
        <v>www.linkedin.com/in/abdulbosit-alijonov-88b593374</v>
      </c>
      <c r="Q68" s="61"/>
      <c r="R68" s="61"/>
      <c r="S68" s="61" t="str">
        <f>IFERROR(__xludf.DUMMYFUNCTION("""COMPUTED_VALUE"""),"5454178432775746083_121.jpg")</f>
        <v>5454178432775746083_121.jpg</v>
      </c>
      <c r="T68" s="61" t="str">
        <f>IFERROR(__xludf.DUMMYFUNCTION("""COMPUTED_VALUE"""),"5296632864789175792_121.jpg")</f>
        <v>5296632864789175792_121.jpg</v>
      </c>
      <c r="U68" s="61" t="str">
        <f>IFERROR(__xludf.DUMMYFUNCTION("""COMPUTED_VALUE"""),"High School")</f>
        <v>High School</v>
      </c>
      <c r="V68" s="61" t="str">
        <f>IFERROR(__xludf.DUMMYFUNCTION("""COMPUTED_VALUE"""),"11th Grade")</f>
        <v>11th Grade</v>
      </c>
      <c r="W68" s="61"/>
      <c r="X68" s="61" t="str">
        <f>IFERROR(__xludf.DUMMYFUNCTION("""COMPUTED_VALUE"""),"Baghdad Agro Technological College")</f>
        <v>Baghdad Agro Technological College</v>
      </c>
      <c r="Y68" s="61" t="str">
        <f>IFERROR(__xludf.DUMMYFUNCTION("""COMPUTED_VALUE"""),"Yes")</f>
        <v>Yes</v>
      </c>
      <c r="Z68" s="61" t="str">
        <f>IFERROR(__xludf.DUMMYFUNCTION("""COMPUTED_VALUE"""),"Uzbekistan")</f>
        <v>Uzbekistan</v>
      </c>
      <c r="AA68" s="61" t="str">
        <f>IFERROR(__xludf.DUMMYFUNCTION("""COMPUTED_VALUE"""),"No")</f>
        <v>No</v>
      </c>
      <c r="AB68" s="61"/>
      <c r="AC68" s="61" t="str">
        <f>IFERROR(__xludf.DUMMYFUNCTION("""COMPUTED_VALUE"""),"To be honest, not")</f>
        <v>To be honest, not</v>
      </c>
      <c r="AD68" s="61" t="str">
        <f>IFERROR(__xludf.DUMMYFUNCTION("""COMPUTED_VALUE"""),"Admire Debate, Ibrat Debate")</f>
        <v>Admire Debate, Ibrat Debate</v>
      </c>
      <c r="AE68" s="61"/>
      <c r="AF68" s="61" t="str">
        <f>IFERROR(__xludf.DUMMYFUNCTION("""COMPUTED_VALUE"""),"Volunteer")</f>
        <v>Volunteer</v>
      </c>
      <c r="AG68" s="61" t="str">
        <f>IFERROR(__xludf.DUMMYFUNCTION("""COMPUTED_VALUE"""),"6 months")</f>
        <v>6 months</v>
      </c>
      <c r="AH68" s="61" t="str">
        <f>IFERROR(__xludf.DUMMYFUNCTION("""COMPUTED_VALUE"""),"No")</f>
        <v>No</v>
      </c>
      <c r="AI68" s="61"/>
      <c r="AJ68" s="61" t="str">
        <f>IFERROR(__xludf.DUMMYFUNCTION("""COMPUTED_VALUE"""),"No")</f>
        <v>No</v>
      </c>
      <c r="AK68" s="61"/>
      <c r="AL68" s="61" t="str">
        <f>IFERROR(__xludf.DUMMYFUNCTION("""COMPUTED_VALUE"""),"Public speaking, debating, leadership, teamwork, event organization, communication, problem-solving, critical thinking, and English proficiency.")</f>
        <v>Public speaking, debating, leadership, teamwork, event organization, communication, problem-solving, critical thinking, and English proficiency.</v>
      </c>
      <c r="AM68" s="61" t="str">
        <f>IFERROR(__xludf.DUMMYFUNCTION("""COMPUTED_VALUE"""),"Resume.pdf")</f>
        <v>Resume.pdf</v>
      </c>
      <c r="AN68" s="61" t="str">
        <f>IFERROR(__xludf.DUMMYFUNCTION("""COMPUTED_VALUE"""),"Yes․ I believe that small actions can lead to great change․ I have also organized and trained in debate and youth leadership exercises calling for rational thinking and forward-looking civic engagement from young people․ I have provided environmental awar"&amp;"eness‚ urging young people to adopt eco-friendly practices‚ and keeping the environment clean by reducing and recycling waste․ I share my knowledge and experiences‚ encourage colleagues to develop their skills․ I reflect and incorporate feedback to improv"&amp;"e my contributions‚ which have been modest․ Sustained effort and involvement will have a positive impact on communities․")</f>
        <v>Yes․ I believe that small actions can lead to great change․ I have also organized and trained in debate and youth leadership exercises calling for rational thinking and forward-looking civic engagement from young people․ I have provided environmental awareness‚ urging young people to adopt eco-friendly practices‚ and keeping the environment clean by reducing and recycling waste․ I share my knowledge and experiences‚ encourage colleagues to develop their skills․ I reflect and incorporate feedback to improve my contributions‚ which have been modest․ Sustained effort and involvement will have a positive impact on communities․</v>
      </c>
      <c r="AO68" s="61" t="str">
        <f>IFERROR(__xludf.DUMMYFUNCTION("""COMPUTED_VALUE"""),"The US ranks as one of the most important countries in the world‚ because of its number of international partnerships‚ its influence on regional and global organizations‚ and its ability to tackle security‚ trade‚ climate change and humanitarian issues wi"&amp;"th a global impact‚ and thus the need to collaborate with other countries in its diplomatic initiatives․ But the world today is a multipolar world․ China‚ the member states of the European Union‚ the other big countries that demand to be heard‚ the region"&amp;"al powers and good diplomacy is not about being big and dominating․ It is about dialogue‚ mutual respect and cooperating․")</f>
        <v>The US ranks as one of the most important countries in the world‚ because of its number of international partnerships‚ its influence on regional and global organizations‚ and its ability to tackle security‚ trade‚ climate change and humanitarian issues with a global impact‚ and thus the need to collaborate with other countries in its diplomatic initiatives․ But the world today is a multipolar world․ China‚ the member states of the European Union‚ the other big countries that demand to be heard‚ the regional powers and good diplomacy is not about being big and dominating․ It is about dialogue‚ mutual respect and cooperating․</v>
      </c>
      <c r="AP68" s="61" t="str">
        <f>IFERROR(__xludf.DUMMYFUNCTION("""COMPUTED_VALUE"""),"For this reason‚ the youth are integral to diplomacy: they are the innovators and the ones able to bridge the intercultural gaps and‚ nowadays‚ diplomacy is not exclusive to governments․ Through international exchanges‚ volunteering‚ debate on global issu"&amp;"es‚ intercultural dialogue‚ and by mobilizing and cooperating online and across other digital spaces‚ by building trust and tolerance among people from diverse backgrounds as well as by tackling stereotypes‚ youth can contribute towards addressing issues "&amp;"like climate change‚ education crisis‚ peacebuilding and security․
I firmly believe in the concept of public diplomacy․ The best relationship between two nations is first built on the foundation of a relationship between people․ Through debating‚ any oth"&amp;"er youth exchange or international event‚ I have learnt the importance of respect‚ listening to others‚ and acting as a representative for my community․ For me‚ public diplomacy means the diplomacy of education‚ culture and exchanges‚ which create opportu"&amp;"nities rather than problems․ As a young person‚ my goal is to meet and connect with people of different backgrounds and exchange opinions with them․ I do believe that within every discussion‚ every project‚ and every partnership‚ we are building a stronge"&amp;"r friendship between nations and a more peaceful world․")</f>
        <v>For this reason‚ the youth are integral to diplomacy: they are the innovators and the ones able to bridge the intercultural gaps and‚ nowadays‚ diplomacy is not exclusive to governments․ Through international exchanges‚ volunteering‚ debate on global issues‚ intercultural dialogue‚ and by mobilizing and cooperating online and across other digital spaces‚ by building trust and tolerance among people from diverse backgrounds as well as by tackling stereotypes‚ youth can contribute towards addressing issues like climate change‚ education crisis‚ peacebuilding and security․
I firmly believe in the concept of public diplomacy․ The best relationship between two nations is first built on the foundation of a relationship between people․ Through debating‚ any other youth exchange or international event‚ I have learnt the importance of respect‚ listening to others‚ and acting as a representative for my community․ For me‚ public diplomacy means the diplomacy of education‚ culture and exchanges‚ which create opportunities rather than problems․ As a young person‚ my goal is to meet and connect with people of different backgrounds and exchange opinions with them․ I do believe that within every discussion‚ every project‚ and every partnership‚ we are building a stronger friendship between nations and a more peaceful world․</v>
      </c>
      <c r="AQ68" s="61" t="str">
        <f>IFERROR(__xludf.DUMMYFUNCTION("""COMPUTED_VALUE"""),"Passion is the fuel that drives people to work tirelessly toward their goals․ It is what gives meaning to their work and helps them stay focused and motivated even in the face of challenges․ This passion has pushed me to improve my English‚ participate in"&amp;" debates‚ and take part in youth leadership programs․ It has fed my desire to improve my English‚ improve my debating skills‚ and develop my leadership skills in youth organizations․ It is a process that requires learning‚ discipline and perseverance․ Whe"&amp;"n you work hard with passion‚ the problem becomes the opportunity․ Finding your passion doesn't mean finding your way to success‚ but finding your way to how you can contribute your talents to society․")</f>
        <v>Passion is the fuel that drives people to work tirelessly toward their goals․ It is what gives meaning to their work and helps them stay focused and motivated even in the face of challenges․ This passion has pushed me to improve my English‚ participate in debates‚ and take part in youth leadership programs․ It has fed my desire to improve my English‚ improve my debating skills‚ and develop my leadership skills in youth organizations․ It is a process that requires learning‚ discipline and perseverance․ When you work hard with passion‚ the problem becomes the opportunity․ Finding your passion doesn't mean finding your way to success‚ but finding your way to how you can contribute your talents to society․</v>
      </c>
      <c r="AR68" s="61" t="str">
        <f>IFERROR(__xludf.DUMMYFUNCTION("""COMPUTED_VALUE"""),"Yes‚ I believe I am a creative person․ I enjoy finding new ideas and different ways to solve problems․ Creativity is about communication and collaboration‚ it is about diversity and understanding․ It is not only about art‚ music‚ or design․ I have learned"&amp;" to express my own ideas and encourage others to share theirs with others through debates‚ youth programs and school activities․
I think that creativity is a powerful tool that can be used in public diplomacy․ For example‚ culture‚ social media‚ educatio"&amp;"n‚ and youth exchanges can naturally and meaningfully convey the values‚ the culture‚ the meaning of a country‚ without the discussions that sometimes occur in political debates․ In addition to political debate‚ it also fosters mutual understanding and tr"&amp;"ust between people with different cultural backgrounds․ As a young person‚ I would like to use my communication skills and creativity to organize projects to strengthen the connections between students from different countries and cultures․ We can lessen "&amp;"the stereotypes and build international friendships if we talk‚ listen to each other and positively exchange our experiences with each other․ I believe that imagination can inspire people‚ positively impact cooperation and create relationships․ These qual"&amp;"ities should animate public diplomacy․")</f>
        <v>Yes‚ I believe I am a creative person․ I enjoy finding new ideas and different ways to solve problems․ Creativity is about communication and collaboration‚ it is about diversity and understanding․ It is not only about art‚ music‚ or design․ I have learned to express my own ideas and encourage others to share theirs with others through debates‚ youth programs and school activities․
I think that creativity is a powerful tool that can be used in public diplomacy․ For example‚ culture‚ social media‚ education‚ and youth exchanges can naturally and meaningfully convey the values‚ the culture‚ the meaning of a country‚ without the discussions that sometimes occur in political debates․ In addition to political debate‚ it also fosters mutual understanding and trust between people with different cultural backgrounds․ As a young person‚ I would like to use my communication skills and creativity to organize projects to strengthen the connections between students from different countries and cultures․ We can lessen the stereotypes and build international friendships if we talk‚ listen to each other and positively exchange our experiences with each other․ I believe that imagination can inspire people‚ positively impact cooperation and create relationships․ These qualities should animate public diplomacy․</v>
      </c>
      <c r="AS68" s="61" t="str">
        <f>IFERROR(__xludf.DUMMYFUNCTION("""COMPUTED_VALUE"""),"Yes")</f>
        <v>Yes</v>
      </c>
      <c r="AT68" s="61" t="str">
        <f>IFERROR(__xludf.DUMMYFUNCTION("""COMPUTED_VALUE"""),"Yes")</f>
        <v>Yes</v>
      </c>
      <c r="AU68" s="61" t="str">
        <f>IFERROR(__xludf.DUMMYFUNCTION("""COMPUTED_VALUE"""),"Philosophy, Media &amp; Diplomacy in International Relations")</f>
        <v>Philosophy, Media &amp; Diplomacy in International Relations</v>
      </c>
      <c r="AV68" s="61" t="str">
        <f>IFERROR(__xludf.DUMMYFUNCTION("""COMPUTED_VALUE"""),"Telegram")</f>
        <v>Telegram</v>
      </c>
      <c r="AW68" s="61" t="str">
        <f>IFERROR(__xludf.DUMMYFUNCTION("""COMPUTED_VALUE"""),"Public Diplomacy and International Relations")</f>
        <v>Public Diplomacy and International Relations</v>
      </c>
      <c r="AX68" s="66" t="str">
        <f>IFERROR(__xludf.DUMMYFUNCTION("""COMPUTED_VALUE"""),"Yes")</f>
        <v>Yes</v>
      </c>
      <c r="AY68" s="66">
        <f>IFERROR(__xludf.DUMMYFUNCTION("""COMPUTED_VALUE"""),15.99)</f>
        <v>15.99</v>
      </c>
      <c r="AZ68" s="61"/>
      <c r="BA68" s="61"/>
      <c r="BB68" s="61"/>
      <c r="BC68" s="61"/>
      <c r="BD68" s="61"/>
      <c r="BE68" s="61"/>
      <c r="BF68" s="61"/>
      <c r="BG68" s="61"/>
      <c r="BH68" s="61"/>
      <c r="BI68" s="61"/>
      <c r="BJ68" s="61"/>
      <c r="BK68" s="61"/>
      <c r="BL68" s="61"/>
      <c r="BM68" s="61"/>
      <c r="BN68" s="61"/>
      <c r="BO68" s="61"/>
      <c r="BP68" s="61"/>
      <c r="BQ68" s="61"/>
      <c r="BR68" s="61"/>
    </row>
    <row r="69" ht="15.75" customHeight="1">
      <c r="A69" s="61" t="str">
        <f>IFERROR(__xludf.DUMMYFUNCTION("""COMPUTED_VALUE"""),"Partial")</f>
        <v>Partial</v>
      </c>
      <c r="B69" s="62">
        <f>IFERROR(__xludf.DUMMYFUNCTION("""COMPUTED_VALUE"""),85.0)</f>
        <v>85</v>
      </c>
      <c r="C69" s="61" t="str">
        <f>IFERROR(__xludf.DUMMYFUNCTION("""COMPUTED_VALUE"""),"Partial")</f>
        <v>Partial</v>
      </c>
      <c r="D69" s="63" t="str">
        <f>IFERROR(__xludf.DUMMYFUNCTION("""COMPUTED_VALUE"""),"Submitted")</f>
        <v>Submitted</v>
      </c>
      <c r="E69" s="63">
        <f>IFERROR(__xludf.DUMMYFUNCTION("""COMPUTED_VALUE"""),46202.67222222222)</f>
        <v>46202.67222</v>
      </c>
      <c r="F69" s="61" t="str">
        <f>IFERROR(__xludf.DUMMYFUNCTION("""COMPUTED_VALUE"""),"Phouangphan Latphakdy")</f>
        <v>Phouangphan Latphakdy</v>
      </c>
      <c r="G69" s="61" t="str">
        <f>IFERROR(__xludf.DUMMYFUNCTION("""COMPUTED_VALUE"""),"Phouangphan Latphakdy")</f>
        <v>Phouangphan Latphakdy</v>
      </c>
      <c r="H69" s="61" t="str">
        <f>IFERROR(__xludf.DUMMYFUNCTION("""COMPUTED_VALUE"""),"phouangphanlpd@gmail.com")</f>
        <v>phouangphanlpd@gmail.com</v>
      </c>
      <c r="I69" s="61" t="str">
        <f>IFERROR(__xludf.DUMMYFUNCTION("""COMPUTED_VALUE"""),"phouangphanlpd@gmail.com")</f>
        <v>phouangphanlpd@gmail.com</v>
      </c>
      <c r="J69" s="61" t="str">
        <f>IFERROR(__xludf.DUMMYFUNCTION("""COMPUTED_VALUE"""),"Phonsikhay Village, Pakse, Lao, People's Democratic Republic")</f>
        <v>Phonsikhay Village, Pakse, Lao, People's Democratic Republic</v>
      </c>
      <c r="K69" s="61" t="str">
        <f>IFERROR(__xludf.DUMMYFUNCTION("""COMPUTED_VALUE"""),"Lao")</f>
        <v>Lao</v>
      </c>
      <c r="L69" s="64" t="str">
        <f>IFERROR(__xludf.DUMMYFUNCTION("""COMPUTED_VALUE"""),"+8562078189962")</f>
        <v>+8562078189962</v>
      </c>
      <c r="M69" s="64">
        <f>IFERROR(__xludf.DUMMYFUNCTION("""COMPUTED_VALUE"""),36982.0)</f>
        <v>36982</v>
      </c>
      <c r="N69" s="61" t="str">
        <f>IFERROR(__xludf.DUMMYFUNCTION("""COMPUTED_VALUE"""),"P2968858")</f>
        <v>P2968858</v>
      </c>
      <c r="O69" s="61" t="str">
        <f>IFERROR(__xludf.DUMMYFUNCTION("""COMPUTED_VALUE"""),"+8562078189962")</f>
        <v>+8562078189962</v>
      </c>
      <c r="P69" s="61"/>
      <c r="Q69" s="61" t="str">
        <f>IFERROR(__xludf.DUMMYFUNCTION("""COMPUTED_VALUE"""),"ttoma_tm1")</f>
        <v>ttoma_tm1</v>
      </c>
      <c r="R69" s="61" t="str">
        <f>IFERROR(__xludf.DUMMYFUNCTION("""COMPUTED_VALUE"""),"Phouangphan Latphakdy")</f>
        <v>Phouangphan Latphakdy</v>
      </c>
      <c r="S69" s="61" t="str">
        <f>IFERROR(__xludf.DUMMYFUNCTION("""COMPUTED_VALUE"""),"Phouangphan_Latphakdy_Passport[1].pdf")</f>
        <v>Phouangphan_Latphakdy_Passport[1].pdf</v>
      </c>
      <c r="T69" s="61" t="str">
        <f>IFERROR(__xludf.DUMMYFUNCTION("""COMPUTED_VALUE"""),"Phouangphan_Picture.png")</f>
        <v>Phouangphan_Picture.png</v>
      </c>
      <c r="U69" s="61" t="str">
        <f>IFERROR(__xludf.DUMMYFUNCTION("""COMPUTED_VALUE"""),"Bachelor's Degree")</f>
        <v>Bachelor's Degree</v>
      </c>
      <c r="V69" s="61" t="str">
        <f>IFERROR(__xludf.DUMMYFUNCTION("""COMPUTED_VALUE"""),"Bachelor of Arts in English Language")</f>
        <v>Bachelor of Arts in English Language</v>
      </c>
      <c r="W69" s="61" t="str">
        <f>IFERROR(__xludf.DUMMYFUNCTION("""COMPUTED_VALUE"""),"English Language")</f>
        <v>English Language</v>
      </c>
      <c r="X69" s="61" t="str">
        <f>IFERROR(__xludf.DUMMYFUNCTION("""COMPUTED_VALUE"""),"National University of Laos")</f>
        <v>National University of Laos</v>
      </c>
      <c r="Y69" s="61" t="str">
        <f>IFERROR(__xludf.DUMMYFUNCTION("""COMPUTED_VALUE"""),"No")</f>
        <v>No</v>
      </c>
      <c r="Z69" s="61" t="str">
        <f>IFERROR(__xludf.DUMMYFUNCTION("""COMPUTED_VALUE"""),"Lao PDR")</f>
        <v>Lao PDR</v>
      </c>
      <c r="AA69" s="61" t="str">
        <f>IFERROR(__xludf.DUMMYFUNCTION("""COMPUTED_VALUE"""),"Yes")</f>
        <v>Yes</v>
      </c>
      <c r="AB69" s="61" t="str">
        <f>IFERROR(__xludf.DUMMYFUNCTION("""COMPUTED_VALUE"""),"Iowa Wesleyan University, United States (Global UGRAD Exchange Program)")</f>
        <v>Iowa Wesleyan University, United States (Global UGRAD Exchange Program)</v>
      </c>
      <c r="AC69" s="61" t="str">
        <f>IFERROR(__xludf.DUMMYFUNCTION("""COMPUTED_VALUE"""),"Although my degree was not research-intensive, i  have experience conducting academic research, preparing reports, collecting and analyzing information, and presenting findings as part of my university coursework. I am interested in strengthening my resea"&amp;"rch skills through international oppportunities.")</f>
        <v>Although my degree was not research-intensive, i  have experience conducting academic research, preparing reports, collecting and analyzing information, and presenting findings as part of my university coursework. I am interested in strengthening my research skills through international oppportunities.</v>
      </c>
      <c r="AD69" s="61" t="str">
        <f>IFERROR(__xludf.DUMMYFUNCTION("""COMPUTED_VALUE"""),"Yes")</f>
        <v>Yes</v>
      </c>
      <c r="AE69" s="65" t="str">
        <f>IFERROR(__xludf.DUMMYFUNCTION("""COMPUTED_VALUE"""),"https://aseanfoundation.org")</f>
        <v>https://aseanfoundation.org</v>
      </c>
      <c r="AF69" s="61" t="str">
        <f>IFERROR(__xludf.DUMMYFUNCTION("""COMPUTED_VALUE"""),"ASEAN Youth Volunteer")</f>
        <v>ASEAN Youth Volunteer</v>
      </c>
      <c r="AG69" s="61" t="str">
        <f>IFERROR(__xludf.DUMMYFUNCTION("""COMPUTED_VALUE"""),"eYAA: 2025")</f>
        <v>eYAA: 2025</v>
      </c>
      <c r="AH69" s="61" t="str">
        <f>IFERROR(__xludf.DUMMYFUNCTION("""COMPUTED_VALUE"""),"Yes")</f>
        <v>Yes</v>
      </c>
      <c r="AI69" s="61" t="str">
        <f>IFERROR(__xludf.DUMMYFUNCTION("""COMPUTED_VALUE"""),"Supply Chain &amp; Administrative Officer at World Vision Lao PDR. I support procurement, logistics, travel coordination, workshops, trainings, field activities, documentation, compliance, and administrative operations for development projects while coordinat"&amp;"ing with project teams, government counterparts, partners, and service providers.")</f>
        <v>Supply Chain &amp; Administrative Officer at World Vision Lao PDR. I support procurement, logistics, travel coordination, workshops, trainings, field activities, documentation, compliance, and administrative operations for development projects while coordinating with project teams, government counterparts, partners, and service providers.</v>
      </c>
      <c r="AJ69" s="61" t="str">
        <f>IFERROR(__xludf.DUMMYFUNCTION("""COMPUTED_VALUE"""),"No")</f>
        <v>No</v>
      </c>
      <c r="AK69" s="61"/>
      <c r="AL69" s="61" t="str">
        <f>IFERROR(__xludf.DUMMYFUNCTION("""COMPUTED_VALUE"""),"• Project Coordination • Procurement • Administration • Logistics Management • Stakeholder Engagement • Cross-cultural Communication • Leadership • Public Speaking • Event &amp; Workshop Coordination • Community Engagement • Sustainability Advocacy • English–"&amp;"Lao Translation &amp; Interpretation • Microsoft Office • Report Writing")</f>
        <v>• Project Coordination • Procurement • Administration • Logistics Management • Stakeholder Engagement • Cross-cultural Communication • Leadership • Public Speaking • Event &amp; Workshop Coordination • Community Engagement • Sustainability Advocacy • English–Lao Translation &amp; Interpretation • Microsoft Office • Report Writing</v>
      </c>
      <c r="AM69" s="61" t="str">
        <f>IFERROR(__xludf.DUMMYFUNCTION("""COMPUTED_VALUE"""),"Phouangphan_Latphakdy_CV_Young_Public_Diplomacy_Summit_2026.pdf")</f>
        <v>Phouangphan_Latphakdy_CV_Young_Public_Diplomacy_Summit_2026.pdf</v>
      </c>
      <c r="AN69" s="61" t="str">
        <f>IFERROR(__xludf.DUMMYFUNCTION("""COMPUTED_VALUE"""),"Yes, but I do not think changing the world starts with one big action. I believe it begins with small actions that encourage others to get involved. That is why I have volunteered in education and environmental initiatives, including Zero Waste Laos, Paks"&amp;"e Youth's Power, and the ASEAN Youth Volunteer program. Through these experiences, I worked with young people and local communities to promote environmental awareness and sustainable practices. Today, working at World Vision Lao PDR has shown me how teamw"&amp;"ork and community participation can create positive change. These experiences continue to inspire me to learn, contribute, and make a difference in my community.")</f>
        <v>Yes, but I do not think changing the world starts with one big action. I believe it begins with small actions that encourage others to get involved. That is why I have volunteered in education and environmental initiatives, including Zero Waste Laos, Pakse Youth's Power, and the ASEAN Youth Volunteer program. Through these experiences, I worked with young people and local communities to promote environmental awareness and sustainable practices. Today, working at World Vision Lao PDR has shown me how teamwork and community participation can create positive change. These experiences continue to inspire me to learn, contribute, and make a difference in my community.</v>
      </c>
      <c r="AO69" s="61" t="str">
        <f>IFERROR(__xludf.DUMMYFUNCTION("""COMPUTED_VALUE"""),"I do not believe there is only one diplomatically significant country because today's challenges require cooperation among many nations. If I had to choose one, I would say Indonesia because of its leadership within ASEAN and its commitment to regional co"&amp;"operation and cultural understanding. During the ASEAN Youth Volunteer program, I had the opportunity to work with young people from different ASEAN countries in Indonesia. That experience helped me realize that diplomacy is not only about discussions bet"&amp;"ween governments. It is also about building trust, respecting different perspectives, and working together to address shared challenges.")</f>
        <v>I do not believe there is only one diplomatically significant country because today's challenges require cooperation among many nations. If I had to choose one, I would say Indonesia because of its leadership within ASEAN and its commitment to regional cooperation and cultural understanding. During the ASEAN Youth Volunteer program, I had the opportunity to work with young people from different ASEAN countries in Indonesia. That experience helped me realize that diplomacy is not only about discussions between governments. It is also about building trust, respecting different perspectives, and working together to address shared challenges.</v>
      </c>
      <c r="AP69" s="61" t="str">
        <f>IFERROR(__xludf.DUMMYFUNCTION("""COMPUTED_VALUE"""),"I believe young people play an important role in diplomacy because we bring fresh ideas, build friendships across cultures, and encourage dialogue within our communities. Public diplomacy is not only about governments. It is also about how individuals rep"&amp;"resent their country, share their culture, and build mutual understanding through everyday interactions.
My understanding of public diplomacy comes from my own experiences. During the Global UGRAD Exchange Program in the United States, I lived and studied"&amp;" with people from different countries and cultures. The experience broadened my perspective and taught me the importance of listening, respecting different viewpoints, and communicating openly. Later, as an ASEAN Youth Volunteer, I collaborated with young"&amp;" leaders from Southeast Asia on environmental initiatives. Although we came from different backgrounds, we shared a common goal of creating positive change in our communities. Today, working at World Vision Lao PDR allows me to coordinate with project tea"&amp;"ms, government counterparts, service providers, and local communities. These experiences have strengthened my communication, teamwork, and coordination skills while showing me the importance of collaboration in achieving shared goals. They continue to mot"&amp;"ivate me to learn from others and contribute to stronger understanding and cooperation between people and communities.")</f>
        <v>I believe young people play an important role in diplomacy because we bring fresh ideas, build friendships across cultures, and encourage dialogue within our communities. Public diplomacy is not only about governments. It is also about how individuals represent their country, share their culture, and build mutual understanding through everyday interactions.
My understanding of public diplomacy comes from my own experiences. During the Global UGRAD Exchange Program in the United States, I lived and studied with people from different countries and cultures. The experience broadened my perspective and taught me the importance of listening, respecting different viewpoints, and communicating openly. Later, as an ASEAN Youth Volunteer, I collaborated with young leaders from Southeast Asia on environmental initiatives. Although we came from different backgrounds, we shared a common goal of creating positive change in our communities. Today, working at World Vision Lao PDR allows me to coordinate with project teams, government counterparts, service providers, and local communities. These experiences have strengthened my communication, teamwork, and coordination skills while showing me the importance of collaboration in achieving shared goals. They continue to motivate me to learn from others and contribute to stronger understanding and cooperation between people and communities.</v>
      </c>
      <c r="AQ69" s="61" t="str">
        <f>IFERROR(__xludf.DUMMYFUNCTION("""COMPUTED_VALUE"""),"To me, passion is what keeps us moving forward even when we face challenges. It motivates us to keep learning, improving, and working toward something meaningful. My passion is supporting communities, promoting sustainable development, and creating opport"&amp;"unities for young people to learn and grow. This passion encouraged me to apply for the Global UGRAD Exchange Program, volunteer in environmental initiatives, and pursue a career in the development sector. Each experience has taught me something different"&amp;". Volunteering showed me the value of community service. Studying in the United States broadened my perspective and strengthened my confidence. Working at World Vision has helped me understand how teamwork and good coordination contribute to successful de"&amp;"velopment projects. These experiences continue to inspire me to grow personally and professionally while contributing to my community and my country.")</f>
        <v>To me, passion is what keeps us moving forward even when we face challenges. It motivates us to keep learning, improving, and working toward something meaningful. My passion is supporting communities, promoting sustainable development, and creating opportunities for young people to learn and grow. This passion encouraged me to apply for the Global UGRAD Exchange Program, volunteer in environmental initiatives, and pursue a career in the development sector. Each experience has taught me something different. Volunteering showed me the value of community service. Studying in the United States broadened my perspective and strengthened my confidence. Working at World Vision has helped me understand how teamwork and good coordination contribute to successful development projects. These experiences continue to inspire me to grow personally and professionally while contributing to my community and my country.</v>
      </c>
      <c r="AR69" s="61" t="str">
        <f>IFERROR(__xludf.DUMMYFUNCTION("""COMPUTED_VALUE"""),"Yes, I believe I am creative, but for me creativity is not only about having new ideas. It is about finding practical ways to connect with people and encourage positive action. During the ASEAN Youth Volunteer program, I worked with other young leaders on"&amp;" the Membumi (Zero Food Waste) project. I learned that people are more likely to support an idea when they understand how it connects to their daily lives. That experience taught me the importance of using simple communication, teamwork, and community par"&amp;"ticipation to create meaningful impact. If I had the opportunity to develop a public diplomacy strategy, I would focus on sharing real stories from communities, encouraging youth exchanges, and using social media to promote dialogue and cultural understan"&amp;"ding. I believe storytelling helps people appreciate different cultures, challenge stereotypes, and build stronger relationships. My experience at World Vision has also shown me that successful projects depend on collaboration between communities, governm"&amp;"ent agencies, and development partners. I believe creativity helps strengthen these partnerships by making communication more engaging, inclusive, and accessible. Public diplomacy is most effective when people feel respected, heard, and inspired to work t"&amp;"ogether toward shared goals.")</f>
        <v>Yes, I believe I am creative, but for me creativity is not only about having new ideas. It is about finding practical ways to connect with people and encourage positive action. During the ASEAN Youth Volunteer program, I worked with other young leaders on the Membumi (Zero Food Waste) project. I learned that people are more likely to support an idea when they understand how it connects to their daily lives. That experience taught me the importance of using simple communication, teamwork, and community participation to create meaningful impact. If I had the opportunity to develop a public diplomacy strategy, I would focus on sharing real stories from communities, encouraging youth exchanges, and using social media to promote dialogue and cultural understanding. I believe storytelling helps people appreciate different cultures, challenge stereotypes, and build stronger relationships. My experience at World Vision has also shown me that successful projects depend on collaboration between communities, government agencies, and development partners. I believe creativity helps strengthen these partnerships by making communication more engaging, inclusive, and accessible. Public diplomacy is most effective when people feel respected, heard, and inspired to work together toward shared goals.</v>
      </c>
      <c r="AS69" s="61" t="str">
        <f>IFERROR(__xludf.DUMMYFUNCTION("""COMPUTED_VALUE"""),"Yes")</f>
        <v>Yes</v>
      </c>
      <c r="AT69" s="61" t="str">
        <f>IFERROR(__xludf.DUMMYFUNCTION("""COMPUTED_VALUE"""),"Yes")</f>
        <v>Yes</v>
      </c>
      <c r="AU69" s="61" t="str">
        <f>IFERROR(__xludf.DUMMYFUNCTION("""COMPUTED_VALUE"""),"Global Politics, Diplomacy &amp; Identities")</f>
        <v>Global Politics, Diplomacy &amp; Identities</v>
      </c>
      <c r="AV69" s="61" t="str">
        <f>IFERROR(__xludf.DUMMYFUNCTION("""COMPUTED_VALUE"""),"Scholarship portal")</f>
        <v>Scholarship portal</v>
      </c>
      <c r="AW69" s="61" t="str">
        <f>IFERROR(__xludf.DUMMYFUNCTION("""COMPUTED_VALUE"""),"Public Diplomacy in the 21st Century, Cultural Diplomacy, Global Politics, and International Cooperation")</f>
        <v>Public Diplomacy in the 21st Century, Cultural Diplomacy, Global Politics, and International Cooperation</v>
      </c>
      <c r="AX69" s="66" t="str">
        <f>IFERROR(__xludf.DUMMYFUNCTION("""COMPUTED_VALUE"""),"Yes")</f>
        <v>Yes</v>
      </c>
      <c r="AY69" s="66">
        <f>IFERROR(__xludf.DUMMYFUNCTION("""COMPUTED_VALUE"""),15.99)</f>
        <v>15.99</v>
      </c>
      <c r="AZ69" s="61"/>
      <c r="BA69" s="61"/>
      <c r="BB69" s="61"/>
      <c r="BC69" s="61"/>
      <c r="BD69" s="61"/>
      <c r="BE69" s="61"/>
      <c r="BF69" s="61"/>
      <c r="BG69" s="61"/>
      <c r="BH69" s="61"/>
      <c r="BI69" s="61"/>
      <c r="BJ69" s="61"/>
      <c r="BK69" s="61"/>
      <c r="BL69" s="61"/>
      <c r="BM69" s="61"/>
      <c r="BN69" s="61"/>
      <c r="BO69" s="61"/>
      <c r="BP69" s="61"/>
      <c r="BQ69" s="61"/>
      <c r="BR69" s="61"/>
    </row>
    <row r="70" ht="15.75" customHeight="1">
      <c r="A70" s="61" t="str">
        <f>IFERROR(__xludf.DUMMYFUNCTION("""COMPUTED_VALUE"""),"partial")</f>
        <v>partial</v>
      </c>
      <c r="B70" s="62">
        <f>IFERROR(__xludf.DUMMYFUNCTION("""COMPUTED_VALUE"""),86.0)</f>
        <v>86</v>
      </c>
      <c r="C70" s="61" t="str">
        <f>IFERROR(__xludf.DUMMYFUNCTION("""COMPUTED_VALUE"""),"partial")</f>
        <v>partial</v>
      </c>
      <c r="D70" s="63" t="str">
        <f>IFERROR(__xludf.DUMMYFUNCTION("""COMPUTED_VALUE"""),"Submitted")</f>
        <v>Submitted</v>
      </c>
      <c r="E70" s="63">
        <f>IFERROR(__xludf.DUMMYFUNCTION("""COMPUTED_VALUE"""),46202.81666666667)</f>
        <v>46202.81667</v>
      </c>
      <c r="F70" s="61" t="str">
        <f>IFERROR(__xludf.DUMMYFUNCTION("""COMPUTED_VALUE"""),"Sanaullah Baburi")</f>
        <v>Sanaullah Baburi</v>
      </c>
      <c r="G70" s="61" t="str">
        <f>IFERROR(__xludf.DUMMYFUNCTION("""COMPUTED_VALUE"""),"Sanaullah Baburi")</f>
        <v>Sanaullah Baburi</v>
      </c>
      <c r="H70" s="61" t="str">
        <f>IFERROR(__xludf.DUMMYFUNCTION("""COMPUTED_VALUE"""),"sanaullahbaburi99@gmail.com")</f>
        <v>sanaullahbaburi99@gmail.com</v>
      </c>
      <c r="I70" s="61" t="str">
        <f>IFERROR(__xludf.DUMMYFUNCTION("""COMPUTED_VALUE"""),"sanaullahbaburi8@gmail.com")</f>
        <v>sanaullahbaburi8@gmail.com</v>
      </c>
      <c r="J70" s="61" t="str">
        <f>IFERROR(__xludf.DUMMYFUNCTION("""COMPUTED_VALUE"""),"Jalan Ahmad Yani 117, Surabaya, Indonesia")</f>
        <v>Jalan Ahmad Yani 117, Surabaya, Indonesia</v>
      </c>
      <c r="K70" s="61" t="str">
        <f>IFERROR(__xludf.DUMMYFUNCTION("""COMPUTED_VALUE"""),"Afghan")</f>
        <v>Afghan</v>
      </c>
      <c r="L70" s="64" t="str">
        <f>IFERROR(__xludf.DUMMYFUNCTION("""COMPUTED_VALUE"""),"+6285182296416")</f>
        <v>+6285182296416</v>
      </c>
      <c r="M70" s="64">
        <f>IFERROR(__xludf.DUMMYFUNCTION("""COMPUTED_VALUE"""),37496.0)</f>
        <v>37496</v>
      </c>
      <c r="N70" s="61" t="str">
        <f>IFERROR(__xludf.DUMMYFUNCTION("""COMPUTED_VALUE"""),"P00356805")</f>
        <v>P00356805</v>
      </c>
      <c r="O70" s="61" t="str">
        <f>IFERROR(__xludf.DUMMYFUNCTION("""COMPUTED_VALUE"""),"+6285700662935")</f>
        <v>+6285700662935</v>
      </c>
      <c r="P70" s="61"/>
      <c r="Q70" s="65" t="str">
        <f>IFERROR(__xludf.DUMMYFUNCTION("""COMPUTED_VALUE"""),"https://www.instagram.com/sanaullah_baburi?igsh=MTVjY2I4dW1naHJocg%3D%3D&amp;utm_source=qr")</f>
        <v>https://www.instagram.com/sanaullah_baburi?igsh=MTVjY2I4dW1naHJocg%3D%3D&amp;utm_source=qr</v>
      </c>
      <c r="R70" s="61"/>
      <c r="S70" s="61" t="str">
        <f>IFERROR(__xludf.DUMMYFUNCTION("""COMPUTED_VALUE"""),"My passport.pdf")</f>
        <v>My passport.pdf</v>
      </c>
      <c r="T70" s="61" t="str">
        <f>IFERROR(__xludf.DUMMYFUNCTION("""COMPUTED_VALUE"""),"Baburi- Formal Picture.jpg")</f>
        <v>Baburi- Formal Picture.jpg</v>
      </c>
      <c r="U70" s="61" t="str">
        <f>IFERROR(__xludf.DUMMYFUNCTION("""COMPUTED_VALUE"""),"Bachelor")</f>
        <v>Bachelor</v>
      </c>
      <c r="V70" s="61" t="str">
        <f>IFERROR(__xludf.DUMMYFUNCTION("""COMPUTED_VALUE"""),"Undergraduate")</f>
        <v>Undergraduate</v>
      </c>
      <c r="W70" s="61" t="str">
        <f>IFERROR(__xludf.DUMMYFUNCTION("""COMPUTED_VALUE"""),"Internatinal Relations")</f>
        <v>Internatinal Relations</v>
      </c>
      <c r="X70" s="61" t="str">
        <f>IFERROR(__xludf.DUMMYFUNCTION("""COMPUTED_VALUE"""),"Airlangga University")</f>
        <v>Airlangga University</v>
      </c>
      <c r="Y70" s="61" t="str">
        <f>IFERROR(__xludf.DUMMYFUNCTION("""COMPUTED_VALUE"""),"No")</f>
        <v>No</v>
      </c>
      <c r="Z70" s="61" t="str">
        <f>IFERROR(__xludf.DUMMYFUNCTION("""COMPUTED_VALUE"""),"Indonesia")</f>
        <v>Indonesia</v>
      </c>
      <c r="AA70" s="61" t="str">
        <f>IFERROR(__xludf.DUMMYFUNCTION("""COMPUTED_VALUE"""),"Yes")</f>
        <v>Yes</v>
      </c>
      <c r="AB70" s="61" t="str">
        <f>IFERROR(__xludf.DUMMYFUNCTION("""COMPUTED_VALUE"""),"Malaysia, Japan")</f>
        <v>Malaysia, Japan</v>
      </c>
      <c r="AC70" s="61" t="str">
        <f>IFERROR(__xludf.DUMMYFUNCTION("""COMPUTED_VALUE"""),"yes")</f>
        <v>yes</v>
      </c>
      <c r="AD70" s="61" t="str">
        <f>IFERROR(__xludf.DUMMYFUNCTION("""COMPUTED_VALUE"""),"Yes, Foreign Policy Community of Indonesia")</f>
        <v>Yes, Foreign Policy Community of Indonesia</v>
      </c>
      <c r="AE70" s="65" t="str">
        <f>IFERROR(__xludf.DUMMYFUNCTION("""COMPUTED_VALUE"""),"https://fpcindonesia.org/")</f>
        <v>https://fpcindonesia.org/</v>
      </c>
      <c r="AF70" s="61" t="str">
        <f>IFERROR(__xludf.DUMMYFUNCTION("""COMPUTED_VALUE"""),"Speaker, Liasion Officer")</f>
        <v>Speaker, Liasion Officer</v>
      </c>
      <c r="AG70" s="61" t="str">
        <f>IFERROR(__xludf.DUMMYFUNCTION("""COMPUTED_VALUE"""),"2 years")</f>
        <v>2 years</v>
      </c>
      <c r="AH70" s="61" t="str">
        <f>IFERROR(__xludf.DUMMYFUNCTION("""COMPUTED_VALUE"""),"No")</f>
        <v>No</v>
      </c>
      <c r="AI70" s="61"/>
      <c r="AJ70" s="61" t="str">
        <f>IFERROR(__xludf.DUMMYFUNCTION("""COMPUTED_VALUE"""),"Youth Center for Dialogue and Peace")</f>
        <v>Youth Center for Dialogue and Peace</v>
      </c>
      <c r="AK70" s="61" t="str">
        <f>IFERROR(__xludf.DUMMYFUNCTION("""COMPUTED_VALUE"""),"Empowering Youth, Fostering Dialogue, Building Peace")</f>
        <v>Empowering Youth, Fostering Dialogue, Building Peace</v>
      </c>
      <c r="AL70" s="61"/>
      <c r="AM70" s="61" t="str">
        <f>IFERROR(__xludf.DUMMYFUNCTION("""COMPUTED_VALUE"""),"CV-Baburi.pdf")</f>
        <v>CV-Baburi.pdf</v>
      </c>
      <c r="AN70" s="61" t="str">
        <f>IFERROR(__xludf.DUMMYFUNCTION("""COMPUTED_VALUE"""),"I believe that meaningful change begins at the community level through dialogue and inclusive participation. In my personal capacity, I have volunteered in peacebuilding and consensus-building initiatives, bringing together young people and community memb"&amp;"ers to address local challenges, particularly environmental issues and the responsible use of shared resources. Rather than promoting predetermined solutions, I encourage constructive dialogue where every voice, especially those of youth and underrepresen"&amp;"ted groups, is heard and respected. By fostering trust, mutual understanding, and collaborative decision-making, I strive to create practical, sustainable solutions that strengthen communities and contribute to a more peaceful and inclusive society.")</f>
        <v>I believe that meaningful change begins at the community level through dialogue and inclusive participation. In my personal capacity, I have volunteered in peacebuilding and consensus-building initiatives, bringing together young people and community members to address local challenges, particularly environmental issues and the responsible use of shared resources. Rather than promoting predetermined solutions, I encourage constructive dialogue where every voice, especially those of youth and underrepresented groups, is heard and respected. By fostering trust, mutual understanding, and collaborative decision-making, I strive to create practical, sustainable solutions that strengthen communities and contribute to a more peaceful and inclusive society.</v>
      </c>
      <c r="AO70" s="61" t="str">
        <f>IFERROR(__xludf.DUMMYFUNCTION("""COMPUTED_VALUE"""),"I believe China is one of the most diplomatically significant countries in the world due to its expanding global influence and active engagement in international affairs. It possesses the world's largest diplomatic network, reflecting its commitment to bu"&amp;"ilding relationships across continents. Through economic cooperation, infrastructure investment, and initiatives such as the Belt and Road Initiative, China has strengthened partnerships with both developed and developing countries. It has also increasing"&amp;"ly contributed to conflict mediation and regional dialogue, demonstrating its growing role in promoting stability. By combining economic statecraft, multilateral engagement, and strategic diplomacy, China has become an indispensable actor in shaping conte"&amp;"mporary global governance.")</f>
        <v>I believe China is one of the most diplomatically significant countries in the world due to its expanding global influence and active engagement in international affairs. It possesses the world's largest diplomatic network, reflecting its commitment to building relationships across continents. Through economic cooperation, infrastructure investment, and initiatives such as the Belt and Road Initiative, China has strengthened partnerships with both developed and developing countries. It has also increasingly contributed to conflict mediation and regional dialogue, demonstrating its growing role in promoting stability. By combining economic statecraft, multilateral engagement, and strategic diplomacy, China has become an indispensable actor in shaping contemporary global governance.</v>
      </c>
      <c r="AP70" s="61" t="str">
        <f>IFERROR(__xludf.DUMMYFUNCTION("""COMPUTED_VALUE"""),"Youth play a crucial role in diplomacy because they bring fresh perspectives, innovative ideas, and the ability to build bridges across cultures. In an increasingly interconnected world, diplomacy extends beyond government negotiations. Young people contr"&amp;"ibute by promoting intercultural dialogue, combating misinformation, advocating for peace, and fostering international cooperation through education, volunteerism, and global youth networks. Their active participation helps strengthen mutual understanding"&amp;" and creates long-term solutions to shared global challenges.
I relate strongly to the idea of public diplomacy because I believe meaningful international relations begin with people-to-people connections. As an International Relations student, I have re"&amp;"presented youth in international conferences, Model United Nations, peacebuilding initiatives, and cross-cultural exchange programs. These experiences have shown me that diplomacy is not only practiced by diplomats but also by young leaders who engage com"&amp;"munities, exchange ideas, and promote trust across borders.
Coming from Afghanistan and studying in Indonesia has further strengthened my understanding of public diplomacy. Living and learning in a multicultural environment has taught me the importance o"&amp;"f listening to different perspectives, respecting diversity, and transforming dialogue into cooperation. I believe youth are not merely the future of diplomacy but active contributors to it today, using communication, collaboration, and leadership to adva"&amp;"nce peace, sustainable development, and stronger international partnerships.")</f>
        <v>Youth play a crucial role in diplomacy because they bring fresh perspectives, innovative ideas, and the ability to build bridges across cultures. In an increasingly interconnected world, diplomacy extends beyond government negotiations. Young people contribute by promoting intercultural dialogue, combating misinformation, advocating for peace, and fostering international cooperation through education, volunteerism, and global youth networks. Their active participation helps strengthen mutual understanding and creates long-term solutions to shared global challenges.
I relate strongly to the idea of public diplomacy because I believe meaningful international relations begin with people-to-people connections. As an International Relations student, I have represented youth in international conferences, Model United Nations, peacebuilding initiatives, and cross-cultural exchange programs. These experiences have shown me that diplomacy is not only practiced by diplomats but also by young leaders who engage communities, exchange ideas, and promote trust across borders.
Coming from Afghanistan and studying in Indonesia has further strengthened my understanding of public diplomacy. Living and learning in a multicultural environment has taught me the importance of listening to different perspectives, respecting diversity, and transforming dialogue into cooperation. I believe youth are not merely the future of diplomacy but active contributors to it today, using communication, collaboration, and leadership to advance peace, sustainable development, and stronger international partnerships.</v>
      </c>
      <c r="AQ70" s="61" t="str">
        <f>IFERROR(__xludf.DUMMYFUNCTION("""COMPUTED_VALUE"""),"Passion is the inner drive that gives purpose to our actions and keeps us committed despite challenges. For me, my passion is advocating for peace, human dignity, and international cooperation. It has inspired me to study International Relations, particip"&amp;"ate in international conferences, engage in peacebuilding initiatives, and work on projects related to diplomacy and sustainable development. Every experience has strengthened my belief that meaningful dialogue and youth leadership can create lasting posi"&amp;"tive change. My passion continues to guide my academic and professional journey toward becoming a peace advocate who promotes understanding, empowers communities, and contributes to a more peaceful and inclusive world.")</f>
        <v>Passion is the inner drive that gives purpose to our actions and keeps us committed despite challenges. For me, my passion is advocating for peace, human dignity, and international cooperation. It has inspired me to study International Relations, participate in international conferences, engage in peacebuilding initiatives, and work on projects related to diplomacy and sustainable development. Every experience has strengthened my belief that meaningful dialogue and youth leadership can create lasting positive change. My passion continues to guide my academic and professional journey toward becoming a peace advocate who promotes understanding, empowers communities, and contributes to a more peaceful and inclusive world.</v>
      </c>
      <c r="AR70" s="61" t="str">
        <f>IFERROR(__xludf.DUMMYFUNCTION("""COMPUTED_VALUE"""),"Yes. I express my creativity by transforming complex issues into meaningful conversations that people can relate to. Drawing on my experience in international conferences, peacebuilding initiatives, and youth leadership programs, I would develop a public "&amp;"diplomacy strategy centered on youth-led dialogue and digital storytelling. By sharing real stories of peacebuilding, organizing intercultural discussions, and using social media to amplify positive narratives, I can help build trust, counter misinformati"&amp;"on, and encourage cooperation across cultures. I believe public diplomacy is most effective when it creates genuine people-to-people connections, and I want to use my communication skills to inspire young people to become active advocates for peace and in"&amp;"ternational understanding.")</f>
        <v>Yes. I express my creativity by transforming complex issues into meaningful conversations that people can relate to. Drawing on my experience in international conferences, peacebuilding initiatives, and youth leadership programs, I would develop a public diplomacy strategy centered on youth-led dialogue and digital storytelling. By sharing real stories of peacebuilding, organizing intercultural discussions, and using social media to amplify positive narratives, I can help build trust, counter misinformation, and encourage cooperation across cultures. I believe public diplomacy is most effective when it creates genuine people-to-people connections, and I want to use my communication skills to inspire young people to become active advocates for peace and international understanding.</v>
      </c>
      <c r="AS70" s="61" t="str">
        <f>IFERROR(__xludf.DUMMYFUNCTION("""COMPUTED_VALUE"""),"Yes")</f>
        <v>Yes</v>
      </c>
      <c r="AT70" s="61" t="str">
        <f>IFERROR(__xludf.DUMMYFUNCTION("""COMPUTED_VALUE"""),"Yes")</f>
        <v>Yes</v>
      </c>
      <c r="AU70" s="61" t="str">
        <f>IFERROR(__xludf.DUMMYFUNCTION("""COMPUTED_VALUE"""),"Strategy, Peace &amp; Cultural Diplomacy")</f>
        <v>Strategy, Peace &amp; Cultural Diplomacy</v>
      </c>
      <c r="AV70" s="61" t="str">
        <f>IFERROR(__xludf.DUMMYFUNCTION("""COMPUTED_VALUE"""),"Instagram")</f>
        <v>Instagram</v>
      </c>
      <c r="AW70" s="61" t="str">
        <f>IFERROR(__xludf.DUMMYFUNCTION("""COMPUTED_VALUE"""),"Public Diplomacy between China-USA")</f>
        <v>Public Diplomacy between China-USA</v>
      </c>
      <c r="AX70" s="66" t="str">
        <f>IFERROR(__xludf.DUMMYFUNCTION("""COMPUTED_VALUE"""),"Yes")</f>
        <v>Yes</v>
      </c>
      <c r="AY70" s="66">
        <f>IFERROR(__xludf.DUMMYFUNCTION("""COMPUTED_VALUE"""),15.99)</f>
        <v>15.99</v>
      </c>
      <c r="AZ70" s="61"/>
      <c r="BA70" s="61"/>
      <c r="BB70" s="61"/>
      <c r="BC70" s="61"/>
      <c r="BD70" s="61"/>
      <c r="BE70" s="61"/>
      <c r="BF70" s="61"/>
      <c r="BG70" s="61"/>
      <c r="BH70" s="61"/>
      <c r="BI70" s="61"/>
      <c r="BJ70" s="61"/>
      <c r="BK70" s="61"/>
      <c r="BL70" s="61"/>
      <c r="BM70" s="61"/>
      <c r="BN70" s="61"/>
      <c r="BO70" s="61"/>
      <c r="BP70" s="61"/>
      <c r="BQ70" s="61"/>
      <c r="BR70" s="61"/>
    </row>
    <row r="71" ht="15.75" customHeight="1">
      <c r="A71" s="61" t="str">
        <f>IFERROR(__xludf.DUMMYFUNCTION("""COMPUTED_VALUE"""),"partial")</f>
        <v>partial</v>
      </c>
      <c r="B71" s="62">
        <f>IFERROR(__xludf.DUMMYFUNCTION("""COMPUTED_VALUE"""),87.0)</f>
        <v>87</v>
      </c>
      <c r="C71" s="61" t="str">
        <f>IFERROR(__xludf.DUMMYFUNCTION("""COMPUTED_VALUE"""),"partial")</f>
        <v>partial</v>
      </c>
      <c r="D71" s="63" t="str">
        <f>IFERROR(__xludf.DUMMYFUNCTION("""COMPUTED_VALUE"""),"Submitted")</f>
        <v>Submitted</v>
      </c>
      <c r="E71" s="63">
        <f>IFERROR(__xludf.DUMMYFUNCTION("""COMPUTED_VALUE"""),46203.0625)</f>
        <v>46203.0625</v>
      </c>
      <c r="F71" s="61" t="str">
        <f>IFERROR(__xludf.DUMMYFUNCTION("""COMPUTED_VALUE"""),"Umar Lawan Muhammad")</f>
        <v>Umar Lawan Muhammad</v>
      </c>
      <c r="G71" s="61" t="str">
        <f>IFERROR(__xludf.DUMMYFUNCTION("""COMPUTED_VALUE"""),"Muhammad Umar Lawan")</f>
        <v>Muhammad Umar Lawan</v>
      </c>
      <c r="H71" s="61" t="str">
        <f>IFERROR(__xludf.DUMMYFUNCTION("""COMPUTED_VALUE"""),"umarmuhammadlawan7@gmail.com")</f>
        <v>umarmuhammadlawan7@gmail.com</v>
      </c>
      <c r="I71" s="61" t="str">
        <f>IFERROR(__xludf.DUMMYFUNCTION("""COMPUTED_VALUE"""),"umarparouq7@gmail.com")</f>
        <v>umarparouq7@gmail.com</v>
      </c>
      <c r="J71" s="61" t="str">
        <f>IFERROR(__xludf.DUMMYFUNCTION("""COMPUTED_VALUE"""),"Sony krivoy street 79, Chelyabink, Nigeria")</f>
        <v>Sony krivoy street 79, Chelyabink, Nigeria</v>
      </c>
      <c r="K71" s="61" t="str">
        <f>IFERROR(__xludf.DUMMYFUNCTION("""COMPUTED_VALUE"""),"Nigerian")</f>
        <v>Nigerian</v>
      </c>
      <c r="L71" s="64" t="str">
        <f>IFERROR(__xludf.DUMMYFUNCTION("""COMPUTED_VALUE"""),"+79085843067")</f>
        <v>+79085843067</v>
      </c>
      <c r="M71" s="64">
        <f>IFERROR(__xludf.DUMMYFUNCTION("""COMPUTED_VALUE"""),36107.0)</f>
        <v>36107</v>
      </c>
      <c r="N71" s="61" t="str">
        <f>IFERROR(__xludf.DUMMYFUNCTION("""COMPUTED_VALUE"""),"A13486652")</f>
        <v>A13486652</v>
      </c>
      <c r="O71" s="61" t="str">
        <f>IFERROR(__xludf.DUMMYFUNCTION("""COMPUTED_VALUE"""),"+2347030971045")</f>
        <v>+2347030971045</v>
      </c>
      <c r="P71" s="65" t="str">
        <f>IFERROR(__xludf.DUMMYFUNCTION("""COMPUTED_VALUE"""),"https://www.linkedin.com/in/umar-muhammad-952729177?utm_source=share_via&amp;utm_content=profile&amp;utm_medium=member_android")</f>
        <v>https://www.linkedin.com/in/umar-muhammad-952729177?utm_source=share_via&amp;utm_content=profile&amp;utm_medium=member_android</v>
      </c>
      <c r="Q71" s="65" t="str">
        <f>IFERROR(__xludf.DUMMYFUNCTION("""COMPUTED_VALUE"""),"https://www.instagram.com/itz.umarr?igsh=azM1em13YTZtdGk4")</f>
        <v>https://www.instagram.com/itz.umarr?igsh=azM1em13YTZtdGk4</v>
      </c>
      <c r="R71" s="65" t="str">
        <f>IFERROR(__xludf.DUMMYFUNCTION("""COMPUTED_VALUE"""),"https://www.facebook.com/umar.muhammad.lawan.5346")</f>
        <v>https://www.facebook.com/umar.muhammad.lawan.5346</v>
      </c>
      <c r="S71" s="61" t="str">
        <f>IFERROR(__xludf.DUMMYFUNCTION("""COMPUTED_VALUE"""),"IMG_20260323_141814.jpg")</f>
        <v>IMG_20260323_141814.jpg</v>
      </c>
      <c r="T71" s="61" t="str">
        <f>IFERROR(__xludf.DUMMYFUNCTION("""COMPUTED_VALUE"""),"avito-1770012100036-shot.jpg")</f>
        <v>avito-1770012100036-shot.jpg</v>
      </c>
      <c r="U71" s="61" t="str">
        <f>IFERROR(__xludf.DUMMYFUNCTION("""COMPUTED_VALUE"""),"Masters")</f>
        <v>Masters</v>
      </c>
      <c r="V71" s="61" t="str">
        <f>IFERROR(__xludf.DUMMYFUNCTION("""COMPUTED_VALUE"""),"Medical Biology")</f>
        <v>Medical Biology</v>
      </c>
      <c r="W71" s="61" t="str">
        <f>IFERROR(__xludf.DUMMYFUNCTION("""COMPUTED_VALUE"""),"Biotechnology")</f>
        <v>Biotechnology</v>
      </c>
      <c r="X71" s="61" t="str">
        <f>IFERROR(__xludf.DUMMYFUNCTION("""COMPUTED_VALUE"""),"South Ural State University Chelyabinsk")</f>
        <v>South Ural State University Chelyabinsk</v>
      </c>
      <c r="Y71" s="61" t="str">
        <f>IFERROR(__xludf.DUMMYFUNCTION("""COMPUTED_VALUE"""),"Yes")</f>
        <v>Yes</v>
      </c>
      <c r="Z71" s="61" t="str">
        <f>IFERROR(__xludf.DUMMYFUNCTION("""COMPUTED_VALUE"""),"Russia")</f>
        <v>Russia</v>
      </c>
      <c r="AA71" s="61" t="str">
        <f>IFERROR(__xludf.DUMMYFUNCTION("""COMPUTED_VALUE"""),"No")</f>
        <v>No</v>
      </c>
      <c r="AB71" s="61"/>
      <c r="AC71" s="61" t="str">
        <f>IFERROR(__xludf.DUMMYFUNCTION("""COMPUTED_VALUE"""),"Yes")</f>
        <v>Yes</v>
      </c>
      <c r="AD71" s="61" t="str">
        <f>IFERROR(__xludf.DUMMYFUNCTION("""COMPUTED_VALUE"""),"National Union of Yobe State Student")</f>
        <v>National Union of Yobe State Student</v>
      </c>
      <c r="AE71" s="61"/>
      <c r="AF71" s="61" t="str">
        <f>IFERROR(__xludf.DUMMYFUNCTION("""COMPUTED_VALUE"""),"National Welfare Director, representing thousands of students, advocating for educational  support and hygiene programs in secondary schools")</f>
        <v>National Welfare Director, representing thousands of students, advocating for educational  support and hygiene programs in secondary schools</v>
      </c>
      <c r="AG71" s="61" t="str">
        <f>IFERROR(__xludf.DUMMYFUNCTION("""COMPUTED_VALUE"""),"1")</f>
        <v>1</v>
      </c>
      <c r="AH71" s="61" t="str">
        <f>IFERROR(__xludf.DUMMYFUNCTION("""COMPUTED_VALUE"""),"No")</f>
        <v>No</v>
      </c>
      <c r="AI71" s="61"/>
      <c r="AJ71" s="61" t="str">
        <f>IFERROR(__xludf.DUMMYFUNCTION("""COMPUTED_VALUE"""),"Yes")</f>
        <v>Yes</v>
      </c>
      <c r="AK71" s="61" t="str">
        <f>IFERROR(__xludf.DUMMYFUNCTION("""COMPUTED_VALUE"""),"Yes. I founded a youth-led organization with the mission of empowering young people through education, leadership development, community service, and health awareness. The organization was established in response to the challenges many young people face, "&amp;"particularly limited access to educational opportunities and health information. Our goal is to inspire young people to become active citizens by promoting volunteerism, organizing educational and hygiene awareness campaigns in schools, and supporting lea"&amp;"dership development. We believe that investing in young people creates stronger communities and future leaders. Through these initiatives, we aim to equip youth with the knowledge, skills, and confidence to make meaningful contributions to society and dri"&amp;"ve sustainable positive change.")</f>
        <v>Yes. I founded a youth-led organization with the mission of empowering young people through education, leadership development, community service, and health awareness. The organization was established in response to the challenges many young people face, particularly limited access to educational opportunities and health information. Our goal is to inspire young people to become active citizens by promoting volunteerism, organizing educational and hygiene awareness campaigns in schools, and supporting leadership development. We believe that investing in young people creates stronger communities and future leaders. Through these initiatives, we aim to equip youth with the knowledge, skills, and confidence to make meaningful contributions to society and drive sustainable positive change.</v>
      </c>
      <c r="AL71" s="61" t="str">
        <f>IFERROR(__xludf.DUMMYFUNCTION("""COMPUTED_VALUE"""),"Leadership, public speaking, scientific research, community engagement, project coordination, teaching, teamwork, cross-cultural communication, problem-solving, adaptability, and scientific writing.")</f>
        <v>Leadership, public speaking, scientific research, community engagement, project coordination, teaching, teamwork, cross-cultural communication, problem-solving, adaptability, and scientific writing.</v>
      </c>
      <c r="AM71" s="61" t="str">
        <f>IFERROR(__xludf.DUMMYFUNCTION("""COMPUTED_VALUE"""),"Muhammad Umar Lawan CV_044948.pdf")</f>
        <v>Muhammad Umar Lawan CV_044948.pdf</v>
      </c>
      <c r="AN71" s="61" t="str">
        <f>IFERROR(__xludf.DUMMYFUNCTION("""COMPUTED_VALUE"""),"Yes. I believe meaningful change begins with individual action. Growing up in Nigeria, I witnessed how poverty and limited opportunities affected many young people. Instead of accepting these challenges, I volunteered to teach science subjects, mentored s"&amp;"tudents, and founded a youth-led organization focused on education, leadership, and community service. I also conducted research on the impact of malaria parasites on the liver profile status of children to contribute to improving public health. Today, st"&amp;"udying in Russia has broadened my perspective and strengthened my commitment to promoting cross-cultural understanding, education, and collaboration as tools for creating lasting positive change.")</f>
        <v>Yes. I believe meaningful change begins with individual action. Growing up in Nigeria, I witnessed how poverty and limited opportunities affected many young people. Instead of accepting these challenges, I volunteered to teach science subjects, mentored students, and founded a youth-led organization focused on education, leadership, and community service. I also conducted research on the impact of malaria parasites on the liver profile status of children to contribute to improving public health. Today, studying in Russia has broadened my perspective and strengthened my commitment to promoting cross-cultural understanding, education, and collaboration as tools for creating lasting positive change.</v>
      </c>
      <c r="AO71" s="61" t="str">
        <f>IFERROR(__xludf.DUMMYFUNCTION("""COMPUTED_VALUE"""),"I consider Indonesia a highly diplomatically important country because it shows how cultural diversity and open dialogue can enhance relations between nations. Coming from Nigeria and currently studying in Russia, I have personally learned the value of in"&amp;"teracting with people from different backgrounds and building understanding across cultural differences. Indonesia’s approach to fostering regional cooperation through ASEAN and maintaining balanced relations with major global powers reflects a strong com"&amp;"mitment to peace, unity, and inclusiveness.")</f>
        <v>I consider Indonesia a highly diplomatically important country because it shows how cultural diversity and open dialogue can enhance relations between nations. Coming from Nigeria and currently studying in Russia, I have personally learned the value of interacting with people from different backgrounds and building understanding across cultural differences. Indonesia’s approach to fostering regional cooperation through ASEAN and maintaining balanced relations with major global powers reflects a strong commitment to peace, unity, and inclusiveness.</v>
      </c>
      <c r="AP71" s="61" t="str">
        <f>IFERROR(__xludf.DUMMYFUNCTION("""COMPUTED_VALUE"""),"Youth play an essential role in diplomacy as they represent energy, innovation, and the future of international relations. They are not only future leaders but also active participants in shaping global understanding today through education, dialogue, and"&amp;" cross-cultural engagement. In an increasingly connected world, young people can break stereotypes, promote mutual respect, and build bridges between communities.
I personally relate to public diplomacy through my lived experiences and academic journey. "&amp;"Growing up in Nigeria, I saw how limited opportunities and insecurity affect young people, but I also experienced how education can transform lives. This motivated me to remain committed to learning, which later gave me the opportunity to study in Russia."&amp;" Living in a multicultural environment has helped me understand different perspectives and strengthened my ability to communicate across cultures.
Through my volunteering in teaching science subjects and my research on malaria’s impact on children’s live"&amp;"r health, I have contributed in my own capacity to education and public health awareness. These experiences show me that diplomacy is not only practiced by governments but also by individuals who share knowledge and foster understanding. I see public dipl"&amp;"omacy as a tool for young people like me to connect communities, promote cooperation, and contribute to solving global challenges.")</f>
        <v>Youth play an essential role in diplomacy as they represent energy, innovation, and the future of international relations. They are not only future leaders but also active participants in shaping global understanding today through education, dialogue, and cross-cultural engagement. In an increasingly connected world, young people can break stereotypes, promote mutual respect, and build bridges between communities.
I personally relate to public diplomacy through my lived experiences and academic journey. Growing up in Nigeria, I saw how limited opportunities and insecurity affect young people, but I also experienced how education can transform lives. This motivated me to remain committed to learning, which later gave me the opportunity to study in Russia. Living in a multicultural environment has helped me understand different perspectives and strengthened my ability to communicate across cultures.
Through my volunteering in teaching science subjects and my research on malaria’s impact on children’s liver health, I have contributed in my own capacity to education and public health awareness. These experiences show me that diplomacy is not only practiced by governments but also by individuals who share knowledge and foster understanding. I see public diplomacy as a tool for young people like me to connect communities, promote cooperation, and contribute to solving global challenges.</v>
      </c>
      <c r="AQ71" s="61" t="str">
        <f>IFERROR(__xludf.DUMMYFUNCTION("""COMPUTED_VALUE"""),"Youth play a crucial role in diplomacy because they are future leaders and powerful agents of change. Through education, innovation, and cross-cultural engagement, young people can build understanding between communities and countries. In a world facing c"&amp;"onflicts, inequality, and misinformation, youth can promote dialogue, tolerance, and cooperation.
I strongly relate to the idea of public diplomacy because my life reflects the power of international connections. Growing up in Nigeria, I faced challenges"&amp;" associated with poverty and insecurity, yet I remained committed to education. That commitment eventually gave me the opportunity to study in Russia, where I interact daily with people from different cultures, languages, and beliefs. These experiences ha"&amp;"ve taught me the importance of mutual respect and understanding.
In my personal capacity, I have volunteered to teach science subjects to students in my community, believing that education can transform lives just as it transformed mine. I have also cond"&amp;"ucted research on the impact of malaria parasites on the liver profile status of children, addressing a health challenge that affects many communities in Africa. Through education, research, and cultural exchange, I aim to contribute to public diplomacy b"&amp;"y building bridges between people, sharing knowledge, and promoting international cooperation for a better future.")</f>
        <v>Youth play a crucial role in diplomacy because they are future leaders and powerful agents of change. Through education, innovation, and cross-cultural engagement, young people can build understanding between communities and countries. In a world facing conflicts, inequality, and misinformation, youth can promote dialogue, tolerance, and cooperation.
I strongly relate to the idea of public diplomacy because my life reflects the power of international connections. Growing up in Nigeria, I faced challenges associated with poverty and insecurity, yet I remained committed to education. That commitment eventually gave me the opportunity to study in Russia, where I interact daily with people from different cultures, languages, and beliefs. These experiences have taught me the importance of mutual respect and understanding.
In my personal capacity, I have volunteered to teach science subjects to students in my community, believing that education can transform lives just as it transformed mine. I have also conducted research on the impact of malaria parasites on the liver profile status of children, addressing a health challenge that affects many communities in Africa. Through education, research, and cultural exchange, I aim to contribute to public diplomacy by building bridges between people, sharing knowledge, and promoting international cooperation for a better future.</v>
      </c>
      <c r="AR71" s="61" t="str">
        <f>IFERROR(__xludf.DUMMYFUNCTION("""COMPUTED_VALUE"""),"Yes, I consider myself a creative person, especially in how I approach learning, problem-solving, and communication. Creativity, for me, is the ability to connect ideas, adapt to new environments, and find meaningful ways to share knowledge with others.
"&amp;"This creativity can be turned into an effective public diplomacy strategy by using communication and education as tools to build understanding between people from different cultures. For example, my experience moving from Nigeria to Russia has helped me l"&amp;"earn how to interact with individuals from diverse backgrounds. This has strengthened my ability to listen, adapt, and communicate ideas clearly across cultural differences.
In public diplomacy, creativity can be used to design educational outreach, cult"&amp;"ural exchange activities, and youth-led initiatives that promote mutual respect and cooperation. My experience in teaching science subjects in my community shows how complex ideas can be simplified and shared to inspire others. Similarly, my research on m"&amp;"alaria and child health demonstrates how scientific knowledge can be used to address real societal challenges and communicate important health messages.
By combining creativity with education and cross-cultural understanding, I can contribute to public d"&amp;"iplomacy by building bridges between communities, encouraging dialogue, and promoting shared solutions to global challenges.")</f>
        <v>Yes, I consider myself a creative person, especially in how I approach learning, problem-solving, and communication. Creativity, for me, is the ability to connect ideas, adapt to new environments, and find meaningful ways to share knowledge with others.
This creativity can be turned into an effective public diplomacy strategy by using communication and education as tools to build understanding between people from different cultures. For example, my experience moving from Nigeria to Russia has helped me learn how to interact with individuals from diverse backgrounds. This has strengthened my ability to listen, adapt, and communicate ideas clearly across cultural differences.
In public diplomacy, creativity can be used to design educational outreach, cultural exchange activities, and youth-led initiatives that promote mutual respect and cooperation. My experience in teaching science subjects in my community shows how complex ideas can be simplified and shared to inspire others. Similarly, my research on malaria and child health demonstrates how scientific knowledge can be used to address real societal challenges and communicate important health messages.
By combining creativity with education and cross-cultural understanding, I can contribute to public diplomacy by building bridges between communities, encouraging dialogue, and promoting shared solutions to global challenges.</v>
      </c>
      <c r="AS71" s="61" t="str">
        <f>IFERROR(__xludf.DUMMYFUNCTION("""COMPUTED_VALUE"""),"Yes")</f>
        <v>Yes</v>
      </c>
      <c r="AT71" s="61" t="str">
        <f>IFERROR(__xludf.DUMMYFUNCTION("""COMPUTED_VALUE"""),"Yes")</f>
        <v>Yes</v>
      </c>
      <c r="AU71" s="61" t="str">
        <f>IFERROR(__xludf.DUMMYFUNCTION("""COMPUTED_VALUE"""),"Global Politics, Diplomacy &amp; Identities")</f>
        <v>Global Politics, Diplomacy &amp; Identities</v>
      </c>
      <c r="AV71" s="61" t="str">
        <f>IFERROR(__xludf.DUMMYFUNCTION("""COMPUTED_VALUE"""),"Scholarships websites")</f>
        <v>Scholarships websites</v>
      </c>
      <c r="AW71" s="61" t="str">
        <f>IFERROR(__xludf.DUMMYFUNCTION("""COMPUTED_VALUE"""),"Youth Leadership and Global Engagement")</f>
        <v>Youth Leadership and Global Engagement</v>
      </c>
      <c r="AX71" s="66" t="str">
        <f>IFERROR(__xludf.DUMMYFUNCTION("""COMPUTED_VALUE"""),"Yes")</f>
        <v>Yes</v>
      </c>
      <c r="AY71" s="66">
        <f>IFERROR(__xludf.DUMMYFUNCTION("""COMPUTED_VALUE"""),15.99)</f>
        <v>15.99</v>
      </c>
      <c r="AZ71" s="61"/>
      <c r="BA71" s="61"/>
      <c r="BB71" s="61"/>
      <c r="BC71" s="61"/>
      <c r="BD71" s="61"/>
      <c r="BE71" s="61"/>
      <c r="BF71" s="61"/>
      <c r="BG71" s="61"/>
      <c r="BH71" s="61"/>
      <c r="BI71" s="61"/>
      <c r="BJ71" s="61"/>
      <c r="BK71" s="61"/>
      <c r="BL71" s="61"/>
      <c r="BM71" s="61"/>
      <c r="BN71" s="61"/>
      <c r="BO71" s="61"/>
      <c r="BP71" s="61"/>
      <c r="BQ71" s="61"/>
      <c r="BR71" s="61"/>
    </row>
    <row r="72" ht="15.75" customHeight="1">
      <c r="A72" s="61" t="str">
        <f>IFERROR(__xludf.DUMMYFUNCTION("""COMPUTED_VALUE"""),"Partial")</f>
        <v>Partial</v>
      </c>
      <c r="B72" s="62">
        <f>IFERROR(__xludf.DUMMYFUNCTION("""COMPUTED_VALUE"""),89.0)</f>
        <v>89</v>
      </c>
      <c r="C72" s="61" t="str">
        <f>IFERROR(__xludf.DUMMYFUNCTION("""COMPUTED_VALUE"""),"Partial")</f>
        <v>Partial</v>
      </c>
      <c r="D72" s="63" t="str">
        <f>IFERROR(__xludf.DUMMYFUNCTION("""COMPUTED_VALUE"""),"Submitted")</f>
        <v>Submitted</v>
      </c>
      <c r="E72" s="63">
        <f>IFERROR(__xludf.DUMMYFUNCTION("""COMPUTED_VALUE"""),46203.72638888889)</f>
        <v>46203.72639</v>
      </c>
      <c r="F72" s="61" t="str">
        <f>IFERROR(__xludf.DUMMYFUNCTION("""COMPUTED_VALUE"""),"zakaria Abdi-rachid")</f>
        <v>zakaria Abdi-rachid</v>
      </c>
      <c r="G72" s="61" t="str">
        <f>IFERROR(__xludf.DUMMYFUNCTION("""COMPUTED_VALUE"""),"zakaria Abdi-rachid")</f>
        <v>zakaria Abdi-rachid</v>
      </c>
      <c r="H72" s="61" t="str">
        <f>IFERROR(__xludf.DUMMYFUNCTION("""COMPUTED_VALUE"""),"zakaria41@iut-dhaka.edu")</f>
        <v>zakaria41@iut-dhaka.edu</v>
      </c>
      <c r="I72" s="61" t="str">
        <f>IFERROR(__xludf.DUMMYFUNCTION("""COMPUTED_VALUE"""),"zakaria41@iut-dhaka.edu")</f>
        <v>zakaria41@iut-dhaka.edu</v>
      </c>
      <c r="J72" s="61" t="str">
        <f>IFERROR(__xludf.DUMMYFUNCTION("""COMPUTED_VALUE"""),"Djibouti Blablaba Djibouti, Djibouti Blablaba Djibouti, Djibouti, Djibouti")</f>
        <v>Djibouti Blablaba Djibouti, Djibouti Blablaba Djibouti, Djibouti, Djibouti</v>
      </c>
      <c r="K72" s="61" t="str">
        <f>IFERROR(__xludf.DUMMYFUNCTION("""COMPUTED_VALUE"""),"Djiboutian")</f>
        <v>Djiboutian</v>
      </c>
      <c r="L72" s="64" t="str">
        <f>IFERROR(__xludf.DUMMYFUNCTION("""COMPUTED_VALUE"""),"+252634593763")</f>
        <v>+252634593763</v>
      </c>
      <c r="M72" s="64">
        <f>IFERROR(__xludf.DUMMYFUNCTION("""COMPUTED_VALUE"""),35431.0)</f>
        <v>35431</v>
      </c>
      <c r="N72" s="61" t="str">
        <f>IFERROR(__xludf.DUMMYFUNCTION("""COMPUTED_VALUE"""),"16RF16932")</f>
        <v>16RF16932</v>
      </c>
      <c r="O72" s="61" t="str">
        <f>IFERROR(__xludf.DUMMYFUNCTION("""COMPUTED_VALUE"""),"+252634593763")</f>
        <v>+252634593763</v>
      </c>
      <c r="P72" s="65" t="str">
        <f>IFERROR(__xludf.DUMMYFUNCTION("""COMPUTED_VALUE"""),"https://www.linkedin.com/in/zakaria-abdi-rachid-abdi-zudesib97438318/")</f>
        <v>https://www.linkedin.com/in/zakaria-abdi-rachid-abdi-zudesib97438318/</v>
      </c>
      <c r="Q72" s="65" t="str">
        <f>IFERROR(__xludf.DUMMYFUNCTION("""COMPUTED_VALUE"""),"https://www.instagram.com/zakariye_sudeysi?igsh=cGtzdHBvcGh6dzY4&amp;utm_source=qr")</f>
        <v>https://www.instagram.com/zakariye_sudeysi?igsh=cGtzdHBvcGh6dzY4&amp;utm_source=qr</v>
      </c>
      <c r="R72" s="65" t="str">
        <f>IFERROR(__xludf.DUMMYFUNCTION("""COMPUTED_VALUE"""),"https://www.facebook.com/saki.cismaan/")</f>
        <v>https://www.facebook.com/saki.cismaan/</v>
      </c>
      <c r="S72" s="61" t="str">
        <f>IFERROR(__xludf.DUMMYFUNCTION("""COMPUTED_VALUE"""),"WhatsApp Image 2026-06-30 at 17.09.11.jpeg")</f>
        <v>WhatsApp Image 2026-06-30 at 17.09.11.jpeg</v>
      </c>
      <c r="T72" s="61" t="str">
        <f>IFERROR(__xludf.DUMMYFUNCTION("""COMPUTED_VALUE"""),"1.jpeg")</f>
        <v>1.jpeg</v>
      </c>
      <c r="U72" s="61" t="str">
        <f>IFERROR(__xludf.DUMMYFUNCTION("""COMPUTED_VALUE"""),"bechalors")</f>
        <v>bechalors</v>
      </c>
      <c r="V72" s="61" t="str">
        <f>IFERROR(__xludf.DUMMYFUNCTION("""COMPUTED_VALUE"""),"mechanical engineering")</f>
        <v>mechanical engineering</v>
      </c>
      <c r="W72" s="61" t="str">
        <f>IFERROR(__xludf.DUMMYFUNCTION("""COMPUTED_VALUE"""),"energy")</f>
        <v>energy</v>
      </c>
      <c r="X72" s="61" t="str">
        <f>IFERROR(__xludf.DUMMYFUNCTION("""COMPUTED_VALUE"""),"IUT OIC BANGLADESH")</f>
        <v>IUT OIC BANGLADESH</v>
      </c>
      <c r="Y72" s="61" t="str">
        <f>IFERROR(__xludf.DUMMYFUNCTION("""COMPUTED_VALUE"""),"No")</f>
        <v>No</v>
      </c>
      <c r="Z72" s="61" t="str">
        <f>IFERROR(__xludf.DUMMYFUNCTION("""COMPUTED_VALUE"""),"Bangladesh")</f>
        <v>Bangladesh</v>
      </c>
      <c r="AA72" s="61" t="str">
        <f>IFERROR(__xludf.DUMMYFUNCTION("""COMPUTED_VALUE"""),"Yes")</f>
        <v>Yes</v>
      </c>
      <c r="AB72" s="61" t="str">
        <f>IFERROR(__xludf.DUMMYFUNCTION("""COMPUTED_VALUE"""),"IUT")</f>
        <v>IUT</v>
      </c>
      <c r="AC72" s="61" t="str">
        <f>IFERROR(__xludf.DUMMYFUNCTION("""COMPUTED_VALUE"""),"yes")</f>
        <v>yes</v>
      </c>
      <c r="AD72" s="61" t="str">
        <f>IFERROR(__xludf.DUMMYFUNCTION("""COMPUTED_VALUE"""),"Volunteer, 34th Convocation, Islamic University of Technology (IUT) – Assisted in event coordination and logistics. Admission Test Volunteer (2022) – Supported administrative tasks during the university admission process. Organizer, Robotics Competition –"&amp;" Planned and managed a university-level robotics competition. Team Leader, IUT Robotics Society – Led initiatives and supervised technical projects. Jury Member, Robotics Event – Evaluated participants performance and technical solutions.")</f>
        <v>Volunteer, 34th Convocation, Islamic University of Technology (IUT) – Assisted in event coordination and logistics. Admission Test Volunteer (2022) – Supported administrative tasks during the university admission process. Organizer, Robotics Competition – Planned and managed a university-level robotics competition. Team Leader, IUT Robotics Society – Led initiatives and supervised technical projects. Jury Member, Robotics Event – Evaluated participants performance and technical solutions.</v>
      </c>
      <c r="AE72" s="65" t="str">
        <f>IFERROR(__xludf.DUMMYFUNCTION("""COMPUTED_VALUE"""),"https://www.iutoic-dhaka.edu/")</f>
        <v>https://www.iutoic-dhaka.edu/</v>
      </c>
      <c r="AF72" s="61" t="str">
        <f>IFERROR(__xludf.DUMMYFUNCTION("""COMPUTED_VALUE"""),"volunteer, organiser, speaker etc")</f>
        <v>volunteer, organiser, speaker etc</v>
      </c>
      <c r="AG72" s="61" t="str">
        <f>IFERROR(__xludf.DUMMYFUNCTION("""COMPUTED_VALUE"""),"3")</f>
        <v>3</v>
      </c>
      <c r="AH72" s="61" t="str">
        <f>IFERROR(__xludf.DUMMYFUNCTION("""COMPUTED_VALUE"""),"No")</f>
        <v>No</v>
      </c>
      <c r="AI72" s="61" t="str">
        <f>IFERROR(__xludf.DUMMYFUNCTION("""COMPUTED_VALUE"""),"no")</f>
        <v>no</v>
      </c>
      <c r="AJ72" s="61" t="str">
        <f>IFERROR(__xludf.DUMMYFUNCTION("""COMPUTED_VALUE"""),"no")</f>
        <v>no</v>
      </c>
      <c r="AK72" s="61" t="str">
        <f>IFERROR(__xludf.DUMMYFUNCTION("""COMPUTED_VALUE"""),"no")</f>
        <v>no</v>
      </c>
      <c r="AL72" s="61" t="str">
        <f>IFERROR(__xludf.DUMMYFUNCTION("""COMPUTED_VALUE"""),"engineer")</f>
        <v>engineer</v>
      </c>
      <c r="AM72" s="61" t="str">
        <f>IFERROR(__xludf.DUMMYFUNCTION("""COMPUTED_VALUE"""),"CV.pdf")</f>
        <v>CV.pdf</v>
      </c>
      <c r="AN72" s="61" t="str">
        <f>IFERROR(__xludf.DUMMYFUNCTION("""COMPUTED_VALUE"""),"Yes. I believe change begins with small, consistent actions rather than waiting for big opportunities. In my community, I have helped classmates and younger students by sharing learning resources, guiding them with studies, and encouraging them to apply f"&amp;"or educational opportunities. I also volunteer my time to support community activities whenever possible and use social media to spread awareness about education, youth development, and positive social values. These experiences have taught me that creatin"&amp;"g impact is not always about leading large projects—it is about being willing to help, inspire, and contribute wherever you can.")</f>
        <v>Yes. I believe change begins with small, consistent actions rather than waiting for big opportunities. In my community, I have helped classmates and younger students by sharing learning resources, guiding them with studies, and encouraging them to apply for educational opportunities. I also volunteer my time to support community activities whenever possible and use social media to spread awareness about education, youth development, and positive social values. These experiences have taught me that creating impact is not always about leading large projects—it is about being willing to help, inspire, and contribute wherever you can.</v>
      </c>
      <c r="AO72" s="61" t="str">
        <f>IFERROR(__xludf.DUMMYFUNCTION("""COMPUTED_VALUE"""),"I believe no single country is the most diplomatically significant because global challenges require cooperation rather than dominance. However, I consider Indonesia highly significant due to its strategic location, diverse society, and active role in reg"&amp;"ional and international diplomacy. As the largest economy in Southeast Asia and a founding member of ASEAN, Indonesia often serves as a bridge between developed and developing nations. Its commitment to dialogue, peaceful conflict resolution, and multilat"&amp;"eral cooperation makes it an important diplomatic actor in addressing issues such as climate change, regional security, economic development, and cultural understanding.")</f>
        <v>I believe no single country is the most diplomatically significant because global challenges require cooperation rather than dominance. However, I consider Indonesia highly significant due to its strategic location, diverse society, and active role in regional and international diplomacy. As the largest economy in Southeast Asia and a founding member of ASEAN, Indonesia often serves as a bridge between developed and developing nations. Its commitment to dialogue, peaceful conflict resolution, and multilateral cooperation makes it an important diplomatic actor in addressing issues such as climate change, regional security, economic development, and cultural understanding.</v>
      </c>
      <c r="AP72" s="61" t="str">
        <f>IFERROR(__xludf.DUMMYFUNCTION("""COMPUTED_VALUE"""),"Young people play an important role in diplomacy because they bring fresh ideas, creativity, and a willingness to work across cultures. In today's interconnected world, diplomacy is no longer limited to government officials. Students, volunteers, entrepre"&amp;"neurs, and young leaders contribute by building understanding through education, cultural exchange, social initiatives, and digital communication. Their voices help address global issues while encouraging cooperation instead of division.
I relate strongl"&amp;"y to the idea of public diplomacy because I believe meaningful relationships between people can be just as influential as formal negotiations. Every interaction with someone from a different background is an opportunity to promote respect, challenge stere"&amp;"otypes, and learn from one another. Through community engagement, knowledge sharing, and conversations with people from diverse perspectives, I have realized that trust is built through listening as much as speaking.
For me, public diplomacy is about rep"&amp;"resenting my values, culture, and community with openness while remaining eager to understand others. I hope to contribute by creating spaces for dialogue, supporting collaborative initiatives, and encouraging young people to participate in solving shared"&amp;" challenges. I believe lasting international cooperation begins with genuine human connections, and youth have the energy and responsibility to strengthen those connections for a more peaceful and inclusive future.")</f>
        <v>Young people play an important role in diplomacy because they bring fresh ideas, creativity, and a willingness to work across cultures. In today's interconnected world, diplomacy is no longer limited to government officials. Students, volunteers, entrepreneurs, and young leaders contribute by building understanding through education, cultural exchange, social initiatives, and digital communication. Their voices help address global issues while encouraging cooperation instead of division.
I relate strongly to the idea of public diplomacy because I believe meaningful relationships between people can be just as influential as formal negotiations. Every interaction with someone from a different background is an opportunity to promote respect, challenge stereotypes, and learn from one another. Through community engagement, knowledge sharing, and conversations with people from diverse perspectives, I have realized that trust is built through listening as much as speaking.
For me, public diplomacy is about representing my values, culture, and community with openness while remaining eager to understand others. I hope to contribute by creating spaces for dialogue, supporting collaborative initiatives, and encouraging young people to participate in solving shared challenges. I believe lasting international cooperation begins with genuine human connections, and youth have the energy and responsibility to strengthen those connections for a more peaceful and inclusive future.</v>
      </c>
      <c r="AQ72" s="61" t="str">
        <f>IFERROR(__xludf.DUMMYFUNCTION("""COMPUTED_VALUE"""),"Passion is the inner motivation that keeps a person committed to a purpose even when progress is slow or challenges arise. It is more than excitement; it is the determination to keep learning, improving, and contributing because the work has meaning. Pass"&amp;"ion gives direction to our efforts and turns goals into long-term commitments instead of temporary interests.
In my life, passion reminds me to stay focused on personal growth and creating a positive impact in my community. Whenever I face setbacks, it e"&amp;"ncourages me to adapt rather than give up. It also pushes me to seek new opportunities, develop new skills, and connect with people who inspire me to think beyond my own experiences.
I believe goals are achieved through consistent effort, and passion pro"&amp;"vides the energy to maintain that effort. With passion, obstacles become learning experiences, and every step forward becomes part of a meaningful journey toward making a difference.")</f>
        <v>Passion is the inner motivation that keeps a person committed to a purpose even when progress is slow or challenges arise. It is more than excitement; it is the determination to keep learning, improving, and contributing because the work has meaning. Passion gives direction to our efforts and turns goals into long-term commitments instead of temporary interests.
In my life, passion reminds me to stay focused on personal growth and creating a positive impact in my community. Whenever I face setbacks, it encourages me to adapt rather than give up. It also pushes me to seek new opportunities, develop new skills, and connect with people who inspire me to think beyond my own experiences.
I believe goals are achieved through consistent effort, and passion provides the energy to maintain that effort. With passion, obstacles become learning experiences, and every step forward becomes part of a meaningful journey toward making a difference.</v>
      </c>
      <c r="AR72" s="61" t="str">
        <f>IFERROR(__xludf.DUMMYFUNCTION("""COMPUTED_VALUE"""),"Yes, I consider myself a creative person because I enjoy finding practical and engaging ways to connect with people and solve problems. For me, creativity is not only about artistic talent but also about thinking differently, adapting to new situations, a"&amp;"nd communicating ideas in ways that others can easily understand.
I believe creativity is an essential part of effective public diplomacy. In a world filled with information, meaningful stories and authentic conversations have the power to build trust ac"&amp;"ross cultures. If I were developing a public diplomacy strategy, I would focus on using digital platforms, cultural exchange, and youth-led initiatives to encourage dialogue rather than one-way communication. Simple campaigns that highlight shared values,"&amp;" local traditions, and personal experiences can help reduce stereotypes and strengthen mutual understanding.
I also believe collaboration is a creative process. Bringing together young people from different countries to exchange ideas, work on community "&amp;"projects, or discuss global challenges can create lasting relationships that formal diplomacy alone cannot achieve. By combining creativity with empathy and active listening, public diplomacy becomes more inclusive, relatable, and impactful, allowing peop"&amp;"le from diverse backgrounds to see one another as partners rather than strangers.")</f>
        <v>Yes, I consider myself a creative person because I enjoy finding practical and engaging ways to connect with people and solve problems. For me, creativity is not only about artistic talent but also about thinking differently, adapting to new situations, and communicating ideas in ways that others can easily understand.
I believe creativity is an essential part of effective public diplomacy. In a world filled with information, meaningful stories and authentic conversations have the power to build trust across cultures. If I were developing a public diplomacy strategy, I would focus on using digital platforms, cultural exchange, and youth-led initiatives to encourage dialogue rather than one-way communication. Simple campaigns that highlight shared values, local traditions, and personal experiences can help reduce stereotypes and strengthen mutual understanding.
I also believe collaboration is a creative process. Bringing together young people from different countries to exchange ideas, work on community projects, or discuss global challenges can create lasting relationships that formal diplomacy alone cannot achieve. By combining creativity with empathy and active listening, public diplomacy becomes more inclusive, relatable, and impactful, allowing people from diverse backgrounds to see one another as partners rather than strangers.</v>
      </c>
      <c r="AS72" s="61" t="str">
        <f>IFERROR(__xludf.DUMMYFUNCTION("""COMPUTED_VALUE"""),"Yes")</f>
        <v>Yes</v>
      </c>
      <c r="AT72" s="61" t="str">
        <f>IFERROR(__xludf.DUMMYFUNCTION("""COMPUTED_VALUE"""),"Yes")</f>
        <v>Yes</v>
      </c>
      <c r="AU72" s="61" t="str">
        <f>IFERROR(__xludf.DUMMYFUNCTION("""COMPUTED_VALUE"""),"International Public Service Relations")</f>
        <v>International Public Service Relations</v>
      </c>
      <c r="AV72" s="61" t="str">
        <f>IFERROR(__xludf.DUMMYFUNCTION("""COMPUTED_VALUE"""),"google")</f>
        <v>google</v>
      </c>
      <c r="AW72" s="61" t="str">
        <f>IFERROR(__xludf.DUMMYFUNCTION("""COMPUTED_VALUE"""),"Energy and Sustainable Development.")</f>
        <v>Energy and Sustainable Development.</v>
      </c>
      <c r="AX72" s="66" t="str">
        <f>IFERROR(__xludf.DUMMYFUNCTION("""COMPUTED_VALUE"""),"Yes")</f>
        <v>Yes</v>
      </c>
      <c r="AY72" s="66">
        <f>IFERROR(__xludf.DUMMYFUNCTION("""COMPUTED_VALUE"""),15.99)</f>
        <v>15.99</v>
      </c>
      <c r="AZ72" s="61"/>
      <c r="BA72" s="61"/>
      <c r="BB72" s="61"/>
      <c r="BC72" s="61"/>
      <c r="BD72" s="61"/>
      <c r="BE72" s="61"/>
      <c r="BF72" s="61"/>
      <c r="BG72" s="61"/>
      <c r="BH72" s="61"/>
      <c r="BI72" s="61"/>
      <c r="BJ72" s="61"/>
      <c r="BK72" s="61"/>
      <c r="BL72" s="61"/>
      <c r="BM72" s="61"/>
      <c r="BN72" s="61"/>
      <c r="BO72" s="61"/>
      <c r="BP72" s="61"/>
      <c r="BQ72" s="61"/>
      <c r="BR72" s="61"/>
    </row>
    <row r="73" ht="15.75" customHeight="1">
      <c r="A73" s="61" t="str">
        <f>IFERROR(__xludf.DUMMYFUNCTION("""COMPUTED_VALUE"""),"Full/partial")</f>
        <v>Full/partial</v>
      </c>
      <c r="B73" s="62">
        <f>IFERROR(__xludf.DUMMYFUNCTION("""COMPUTED_VALUE"""),90.0)</f>
        <v>90</v>
      </c>
      <c r="C73" s="61" t="str">
        <f>IFERROR(__xludf.DUMMYFUNCTION("""COMPUTED_VALUE"""),"Partial")</f>
        <v>Partial</v>
      </c>
      <c r="D73" s="63" t="str">
        <f>IFERROR(__xludf.DUMMYFUNCTION("""COMPUTED_VALUE"""),"Submitted")</f>
        <v>Submitted</v>
      </c>
      <c r="E73" s="63">
        <f>IFERROR(__xludf.DUMMYFUNCTION("""COMPUTED_VALUE"""),46203.825)</f>
        <v>46203.825</v>
      </c>
      <c r="F73" s="61" t="str">
        <f>IFERROR(__xludf.DUMMYFUNCTION("""COMPUTED_VALUE"""),"Noluthando Sikhakhane")</f>
        <v>Noluthando Sikhakhane</v>
      </c>
      <c r="G73" s="61" t="str">
        <f>IFERROR(__xludf.DUMMYFUNCTION("""COMPUTED_VALUE"""),"Noluthando Sikhakhane")</f>
        <v>Noluthando Sikhakhane</v>
      </c>
      <c r="H73" s="61" t="str">
        <f>IFERROR(__xludf.DUMMYFUNCTION("""COMPUTED_VALUE"""),"Sikhakhane8@gmail.com")</f>
        <v>Sikhakhane8@gmail.com</v>
      </c>
      <c r="I73" s="61" t="str">
        <f>IFERROR(__xludf.DUMMYFUNCTION("""COMPUTED_VALUE"""),"Sikhakhane8@gmail.com")</f>
        <v>Sikhakhane8@gmail.com</v>
      </c>
      <c r="J73" s="61" t="str">
        <f>IFERROR(__xludf.DUMMYFUNCTION("""COMPUTED_VALUE"""),"11 Daleham Road, Mondeor, South Africa")</f>
        <v>11 Daleham Road, Mondeor, South Africa</v>
      </c>
      <c r="K73" s="61" t="str">
        <f>IFERROR(__xludf.DUMMYFUNCTION("""COMPUTED_VALUE"""),"South African")</f>
        <v>South African</v>
      </c>
      <c r="L73" s="64" t="str">
        <f>IFERROR(__xludf.DUMMYFUNCTION("""COMPUTED_VALUE"""),"+27742543027")</f>
        <v>+27742543027</v>
      </c>
      <c r="M73" s="64">
        <f>IFERROR(__xludf.DUMMYFUNCTION("""COMPUTED_VALUE"""),35438.0)</f>
        <v>35438</v>
      </c>
      <c r="N73" s="61" t="str">
        <f>IFERROR(__xludf.DUMMYFUNCTION("""COMPUTED_VALUE"""),"A09008191")</f>
        <v>A09008191</v>
      </c>
      <c r="O73" s="61" t="str">
        <f>IFERROR(__xludf.DUMMYFUNCTION("""COMPUTED_VALUE"""),"+27742543027")</f>
        <v>+27742543027</v>
      </c>
      <c r="P73" s="61"/>
      <c r="Q73" s="61"/>
      <c r="R73" s="61"/>
      <c r="S73" s="61" t="str">
        <f>IFERROR(__xludf.DUMMYFUNCTION("""COMPUTED_VALUE"""),"PASSPORT.jpeg")</f>
        <v>PASSPORT.jpeg</v>
      </c>
      <c r="T73" s="61" t="str">
        <f>IFERROR(__xludf.DUMMYFUNCTION("""COMPUTED_VALUE"""),"Updated photo.jpg")</f>
        <v>Updated photo.jpg</v>
      </c>
      <c r="U73" s="61" t="str">
        <f>IFERROR(__xludf.DUMMYFUNCTION("""COMPUTED_VALUE"""),"Advanced Diploma")</f>
        <v>Advanced Diploma</v>
      </c>
      <c r="V73" s="61" t="str">
        <f>IFERROR(__xludf.DUMMYFUNCTION("""COMPUTED_VALUE"""),"Business studies")</f>
        <v>Business studies</v>
      </c>
      <c r="W73" s="61" t="str">
        <f>IFERROR(__xludf.DUMMYFUNCTION("""COMPUTED_VALUE"""),"Finance")</f>
        <v>Finance</v>
      </c>
      <c r="X73" s="61" t="str">
        <f>IFERROR(__xludf.DUMMYFUNCTION("""COMPUTED_VALUE"""),"Nelson Mandela Univeristy")</f>
        <v>Nelson Mandela Univeristy</v>
      </c>
      <c r="Y73" s="61" t="str">
        <f>IFERROR(__xludf.DUMMYFUNCTION("""COMPUTED_VALUE"""),"No")</f>
        <v>No</v>
      </c>
      <c r="Z73" s="61" t="str">
        <f>IFERROR(__xludf.DUMMYFUNCTION("""COMPUTED_VALUE"""),"South Africa")</f>
        <v>South Africa</v>
      </c>
      <c r="AA73" s="61" t="str">
        <f>IFERROR(__xludf.DUMMYFUNCTION("""COMPUTED_VALUE"""),"No")</f>
        <v>No</v>
      </c>
      <c r="AB73" s="61"/>
      <c r="AC73" s="61" t="str">
        <f>IFERROR(__xludf.DUMMYFUNCTION("""COMPUTED_VALUE"""),"yes")</f>
        <v>yes</v>
      </c>
      <c r="AD73" s="61" t="str">
        <f>IFERROR(__xludf.DUMMYFUNCTION("""COMPUTED_VALUE"""),"Amnesty International")</f>
        <v>Amnesty International</v>
      </c>
      <c r="AE73" s="65" t="str">
        <f>IFERROR(__xludf.DUMMYFUNCTION("""COMPUTED_VALUE"""),"https://www.amnesty.org/en/location/africa/southern-africa/south-africa/")</f>
        <v>https://www.amnesty.org/en/location/africa/southern-africa/south-africa/</v>
      </c>
      <c r="AF73" s="61" t="str">
        <f>IFERROR(__xludf.DUMMYFUNCTION("""COMPUTED_VALUE"""),"Public relations officer")</f>
        <v>Public relations officer</v>
      </c>
      <c r="AG73" s="61" t="str">
        <f>IFERROR(__xludf.DUMMYFUNCTION("""COMPUTED_VALUE"""),"1")</f>
        <v>1</v>
      </c>
      <c r="AH73" s="61" t="str">
        <f>IFERROR(__xludf.DUMMYFUNCTION("""COMPUTED_VALUE"""),"Yes")</f>
        <v>Yes</v>
      </c>
      <c r="AI73" s="61" t="str">
        <f>IFERROR(__xludf.DUMMYFUNCTION("""COMPUTED_VALUE"""),"Chemical Gas Sales Representative")</f>
        <v>Chemical Gas Sales Representative</v>
      </c>
      <c r="AJ73" s="61" t="str">
        <f>IFERROR(__xludf.DUMMYFUNCTION("""COMPUTED_VALUE"""),"yes")</f>
        <v>yes</v>
      </c>
      <c r="AK73" s="61" t="str">
        <f>IFERROR(__xludf.DUMMYFUNCTION("""COMPUTED_VALUE"""),"The aim of the organization is to empower young girls through grassroots football by providing a safe, inclusive, and supportive environment where they can develop their sporting talent, build confidence, and acquire essential life skills. The organizatio"&amp;"n is committed to promoting equal opportunities in sport, encouraging education, fostering leadership, and improving the physical, mental, and social well-being of girls. Through football, mentorship, and community engagement, the organization seeks to in"&amp;"spire young women to reach their full potential and become positive leaders within their communities.")</f>
        <v>The aim of the organization is to empower young girls through grassroots football by providing a safe, inclusive, and supportive environment where they can develop their sporting talent, build confidence, and acquire essential life skills. The organization is committed to promoting equal opportunities in sport, encouraging education, fostering leadership, and improving the physical, mental, and social well-being of girls. Through football, mentorship, and community engagement, the organization seeks to inspire young women to reach their full potential and become positive leaders within their communities.</v>
      </c>
      <c r="AL73" s="61" t="str">
        <f>IFERROR(__xludf.DUMMYFUNCTION("""COMPUTED_VALUE"""),"Creative work")</f>
        <v>Creative work</v>
      </c>
      <c r="AM73" s="61" t="str">
        <f>IFERROR(__xludf.DUMMYFUNCTION("""COMPUTED_VALUE"""),"Noluthando Sikhakhane CV 2026.pdf")</f>
        <v>Noluthando Sikhakhane CV 2026.pdf</v>
      </c>
      <c r="AN73" s="61" t="str">
        <f>IFERROR(__xludf.DUMMYFUNCTION("""COMPUTED_VALUE"""),"Yes. I believe lasting change begins with empowering people at the community level. Beyond my professional career, I founded a grassroots women's football organization that develops young girls through sport, mentorship, and leadership. The initiative cre"&amp;"ates opportunities for girls to build confidence, discipline, teamwork, and resilience while promoting gender equality and social inclusion. Professionally, I strive to make a positive impact by delivering excellent service, building strong relationships,"&amp;" and using data to improve business decisions. Whether in my community or workplace, I believe that small, consistent actions can create meaningful and lasting change.")</f>
        <v>Yes. I believe lasting change begins with empowering people at the community level. Beyond my professional career, I founded a grassroots women's football organization that develops young girls through sport, mentorship, and leadership. The initiative creates opportunities for girls to build confidence, discipline, teamwork, and resilience while promoting gender equality and social inclusion. Professionally, I strive to make a positive impact by delivering excellent service, building strong relationships, and using data to improve business decisions. Whether in my community or workplace, I believe that small, consistent actions can create meaningful and lasting change.</v>
      </c>
      <c r="AO73" s="61" t="str">
        <f>IFERROR(__xludf.DUMMYFUNCTION("""COMPUTED_VALUE"""),"I don't believe there is one country that is the most diplomatically significant because every nation contributes differently to global affairs. If I had to choose, I would say the United States because of its influence on international trade, global secu"&amp;"rity, technology, and foreign policy. Decisions made by the United States often have a ripple effect on other countries and international organizations. However, I also believe diplomacy is becoming more collaborative. Countries like South Africa play an "&amp;"important role in representing the interests of the Global South and promoting dialogue, peace, and cooperation. Strong diplomacy is about working together to solve shared challenges, not one country leading alone.")</f>
        <v>I don't believe there is one country that is the most diplomatically significant because every nation contributes differently to global affairs. If I had to choose, I would say the United States because of its influence on international trade, global security, technology, and foreign policy. Decisions made by the United States often have a ripple effect on other countries and international organizations. However, I also believe diplomacy is becoming more collaborative. Countries like South Africa play an important role in representing the interests of the Global South and promoting dialogue, peace, and cooperation. Strong diplomacy is about working together to solve shared challenges, not one country leading alone.</v>
      </c>
      <c r="AP73" s="61" t="str">
        <f>IFERROR(__xludf.DUMMYFUNCTION("""COMPUTED_VALUE"""),"I believe young people have an important role in diplomacy because we bring fresh ideas, different perspectives, and a willingness to engage with people from diverse backgrounds. We are also the generation that uses technology and social media to connect "&amp;"with people across the world, making it easier to build understanding beyond our own communities. Young people can influence conversations about peace, equality, climate change, education, and economic development by sharing ideas and working together acr"&amp;"oss borders.
I relate to the idea of public diplomacy because I believe meaningful relationships are built through people, not only through governments. In my career, I have learned the importance of communication, building trust, and working with people"&amp;" from different industries to achieve common goals. Outside of work, I founded a grassroots women's football organization because I wanted to create opportunities for young girls to grow through sport. Football brings people together regardless of their b"&amp;"ackground, language, or culture, and it teaches values such as respect, teamwork, and leadership.
For me, public diplomacy is about creating opportunities for people to connect, learn from one another, and work together to make a positive difference. I b"&amp;"elieve young people can play a leading role in making those connections stronger.")</f>
        <v>I believe young people have an important role in diplomacy because we bring fresh ideas, different perspectives, and a willingness to engage with people from diverse backgrounds. We are also the generation that uses technology and social media to connect with people across the world, making it easier to build understanding beyond our own communities. Young people can influence conversations about peace, equality, climate change, education, and economic development by sharing ideas and working together across borders.
I relate to the idea of public diplomacy because I believe meaningful relationships are built through people, not only through governments. In my career, I have learned the importance of communication, building trust, and working with people from different industries to achieve common goals. Outside of work, I founded a grassroots women's football organization because I wanted to create opportunities for young girls to grow through sport. Football brings people together regardless of their background, language, or culture, and it teaches values such as respect, teamwork, and leadership.
For me, public diplomacy is about creating opportunities for people to connect, learn from one another, and work together to make a positive difference. I believe young people can play a leading role in making those connections stronger.</v>
      </c>
      <c r="AQ73" s="61" t="str">
        <f>IFERROR(__xludf.DUMMYFUNCTION("""COMPUTED_VALUE"""),"passion is having a clear purpose that motivates you to keep going, even when things become challenging. It is what keeps you committed to your goals and encourages you to keep learning and improving. Passion is not just about enjoying something; it is ab"&amp;"out being willing to put in the effort to make a difference.
My passion is creating opportunities for others while continuing to grow professionally. In my career, I enjoy solving problems, building strong relationships, and using data to improve busines"&amp;"s decisions. Outside of work, I am passionate about empowering young girls through my grassroots women's football organization. Seeing girls gain confidence, develop leadership skills, and believe in their potential motivates me to continue investing my t"&amp;"ime and energy into the initiative. My passion also drives me to keep learning, which is why I am developing my skills in data analytics. It reminds me that every step I take brings me closer to achieving both my personal and professional goals.")</f>
        <v>passion is having a clear purpose that motivates you to keep going, even when things become challenging. It is what keeps you committed to your goals and encourages you to keep learning and improving. Passion is not just about enjoying something; it is about being willing to put in the effort to make a difference.
My passion is creating opportunities for others while continuing to grow professionally. In my career, I enjoy solving problems, building strong relationships, and using data to improve business decisions. Outside of work, I am passionate about empowering young girls through my grassroots women's football organization. Seeing girls gain confidence, develop leadership skills, and believe in their potential motivates me to continue investing my time and energy into the initiative. My passion also drives me to keep learning, which is why I am developing my skills in data analytics. It reminds me that every step I take brings me closer to achieving both my personal and professional goals.</v>
      </c>
      <c r="AR73" s="61" t="str">
        <f>IFERROR(__xludf.DUMMYFUNCTION("""COMPUTED_VALUE"""),"Yes, I consider myself a creative person because I enjoy finding practical solutions to challenges and looking at situations from different perspectives. Creativity is not only about coming up with new ideas Through my grassroots women's football organiza"&amp;"tion, I have also found creative ways to encourage girls to participate in sport and develop leadership skills.
I believe creativity is an important part of public diplomacy because it helps people connect in ways that feel genuine and meaningful. Sport,"&amp;" storytelling, digital media, music, and cultural exchange can all bring people from different backgrounds together and encourage mutual understanding.
If I had the opportunity, I would use football as a platform for cultural exchange by bringing togethe"&amp;"r young people from different communities and countries to learn from one another. I would also use social media to share inspiring stories, celebrate diversity, and encourage positive conversations. I believe creativity makes diplomacy more inclusive by "&amp;"giving ordinary people, especially young people, the chance to build friendships and strengthen international relationships through shared experiences.")</f>
        <v>Yes, I consider myself a creative person because I enjoy finding practical solutions to challenges and looking at situations from different perspectives. Creativity is not only about coming up with new ideas Through my grassroots women's football organization, I have also found creative ways to encourage girls to participate in sport and develop leadership skills.
I believe creativity is an important part of public diplomacy because it helps people connect in ways that feel genuine and meaningful. Sport, storytelling, digital media, music, and cultural exchange can all bring people from different backgrounds together and encourage mutual understanding.
If I had the opportunity, I would use football as a platform for cultural exchange by bringing together young people from different communities and countries to learn from one another. I would also use social media to share inspiring stories, celebrate diversity, and encourage positive conversations. I believe creativity makes diplomacy more inclusive by giving ordinary people, especially young people, the chance to build friendships and strengthen international relationships through shared experiences.</v>
      </c>
      <c r="AS73" s="61" t="str">
        <f>IFERROR(__xludf.DUMMYFUNCTION("""COMPUTED_VALUE"""),"Yes")</f>
        <v>Yes</v>
      </c>
      <c r="AT73" s="61" t="str">
        <f>IFERROR(__xludf.DUMMYFUNCTION("""COMPUTED_VALUE"""),"Yes")</f>
        <v>Yes</v>
      </c>
      <c r="AU73" s="61" t="str">
        <f>IFERROR(__xludf.DUMMYFUNCTION("""COMPUTED_VALUE"""),"Arts, Culture &amp; Soft Power")</f>
        <v>Arts, Culture &amp; Soft Power</v>
      </c>
      <c r="AV73" s="61" t="str">
        <f>IFERROR(__xludf.DUMMYFUNCTION("""COMPUTED_VALUE"""),"google")</f>
        <v>google</v>
      </c>
      <c r="AW73" s="61" t="str">
        <f>IFERROR(__xludf.DUMMYFUNCTION("""COMPUTED_VALUE"""),"Public Diplomacy")</f>
        <v>Public Diplomacy</v>
      </c>
      <c r="AX73" s="66" t="str">
        <f>IFERROR(__xludf.DUMMYFUNCTION("""COMPUTED_VALUE"""),"Yes")</f>
        <v>Yes</v>
      </c>
      <c r="AY73" s="66">
        <f>IFERROR(__xludf.DUMMYFUNCTION("""COMPUTED_VALUE"""),15.99)</f>
        <v>15.99</v>
      </c>
      <c r="AZ73" s="61"/>
      <c r="BA73" s="61"/>
      <c r="BB73" s="61"/>
      <c r="BC73" s="61"/>
      <c r="BD73" s="61"/>
      <c r="BE73" s="61"/>
      <c r="BF73" s="61"/>
      <c r="BG73" s="61"/>
      <c r="BH73" s="61"/>
      <c r="BI73" s="61"/>
      <c r="BJ73" s="61"/>
      <c r="BK73" s="61"/>
      <c r="BL73" s="61"/>
      <c r="BM73" s="61"/>
      <c r="BN73" s="61"/>
      <c r="BO73" s="61"/>
      <c r="BP73" s="61"/>
      <c r="BQ73" s="61"/>
      <c r="BR73" s="61"/>
    </row>
    <row r="74" ht="15.75" customHeight="1">
      <c r="A74" s="61" t="str">
        <f>IFERROR(__xludf.DUMMYFUNCTION("""COMPUTED_VALUE"""),"")</f>
        <v/>
      </c>
      <c r="B74" s="62">
        <f>IFERROR(__xludf.DUMMYFUNCTION("""COMPUTED_VALUE"""),91.0)</f>
        <v>91</v>
      </c>
      <c r="C74" s="61" t="str">
        <f>IFERROR(__xludf.DUMMYFUNCTION("""COMPUTED_VALUE"""),"Self")</f>
        <v>Self</v>
      </c>
      <c r="D74" s="63" t="str">
        <f>IFERROR(__xludf.DUMMYFUNCTION("""COMPUTED_VALUE"""),"Submitted")</f>
        <v>Submitted</v>
      </c>
      <c r="E74" s="63">
        <f>IFERROR(__xludf.DUMMYFUNCTION("""COMPUTED_VALUE"""),46203.88819444444)</f>
        <v>46203.88819</v>
      </c>
      <c r="F74" s="61" t="str">
        <f>IFERROR(__xludf.DUMMYFUNCTION("""COMPUTED_VALUE"""),"NKULI Elnathan")</f>
        <v>NKULI Elnathan</v>
      </c>
      <c r="G74" s="61" t="str">
        <f>IFERROR(__xludf.DUMMYFUNCTION("""COMPUTED_VALUE"""),"Elnathan NKULI")</f>
        <v>Elnathan NKULI</v>
      </c>
      <c r="H74" s="61" t="str">
        <f>IFERROR(__xludf.DUMMYFUNCTION("""COMPUTED_VALUE"""),"elnathannkuli8@gmail.com")</f>
        <v>elnathannkuli8@gmail.com</v>
      </c>
      <c r="I74" s="61" t="str">
        <f>IFERROR(__xludf.DUMMYFUNCTION("""COMPUTED_VALUE"""),"elnkuli929@gmail.com")</f>
        <v>elnkuli929@gmail.com</v>
      </c>
      <c r="J74" s="61" t="str">
        <f>IFERROR(__xludf.DUMMYFUNCTION("""COMPUTED_VALUE"""),"N°18 Idiofa, Q/Salongo C/Limeté, Kinshasa, Democratic Republic of the Congo (Kinshasa)")</f>
        <v>N°18 Idiofa, Q/Salongo C/Limeté, Kinshasa, Democratic Republic of the Congo (Kinshasa)</v>
      </c>
      <c r="K74" s="61" t="str">
        <f>IFERROR(__xludf.DUMMYFUNCTION("""COMPUTED_VALUE"""),"The Democratic Republic of the Congo")</f>
        <v>The Democratic Republic of the Congo</v>
      </c>
      <c r="L74" s="64" t="str">
        <f>IFERROR(__xludf.DUMMYFUNCTION("""COMPUTED_VALUE"""),"+243816023378")</f>
        <v>+243816023378</v>
      </c>
      <c r="M74" s="64">
        <f>IFERROR(__xludf.DUMMYFUNCTION("""COMPUTED_VALUE"""),35564.0)</f>
        <v>35564</v>
      </c>
      <c r="N74" s="61" t="str">
        <f>IFERROR(__xludf.DUMMYFUNCTION("""COMPUTED_VALUE"""),"Passport")</f>
        <v>Passport</v>
      </c>
      <c r="O74" s="61" t="str">
        <f>IFERROR(__xludf.DUMMYFUNCTION("""COMPUTED_VALUE"""),"+243813535161")</f>
        <v>+243813535161</v>
      </c>
      <c r="P74" s="67" t="str">
        <f>IFERROR(__xludf.DUMMYFUNCTION("""COMPUTED_VALUE"""),"www.linkedin.com/in/elnathan-nkuli-78888422b")</f>
        <v>www.linkedin.com/in/elnathan-nkuli-78888422b</v>
      </c>
      <c r="Q74" s="65" t="str">
        <f>IFERROR(__xludf.DUMMYFUNCTION("""COMPUTED_VALUE"""),"https://l.instagram.com/?u=https%3A%2F%2Fmy.manychat.com%2Fr%3Fact%3D56da4ac4e192a26cea53777edc00ca3e%26u%3D1390632899%26p%3D1886075%26h%3Dc18dadee53%26fbclid%3DPAT01DUASwpNRleHRuA2FlbQIxMABzcnRjBmFwcF9pZA81NjcwNjczNDMzNTI0MjcAAadc83kBMnUGgnl-buzcUdW459wu"&amp;"asa6AtKuFyLgvsNwxdhH8QzXO-wGg6e9bw_aem_dPIjj_DuJPc4kPKQdYUUDw&amp;e=AUBpSrn0DPlaoe8vrOcrsiZkR6BkSkdmmBisgGhRm9xAM2D82DVmkop2GsQGmiKPSlGLkDIrBrwjZEHG5LkEd_YdSInchNOs0bfta7TxzA&amp;s=1")</f>
        <v>https://l.instagram.com/?u=https%3A%2F%2Fmy.manychat.com%2Fr%3Fact%3D56da4ac4e192a26cea53777edc00ca3e%26u%3D1390632899%26p%3D1886075%26h%3Dc18dadee53%26fbclid%3DPAT01DUASwpNRleHRuA2FlbQIxMABzcnRjBmFwcF9pZA81NjcwNjczNDMzNTI0MjcAAadc83kBMnUGgnl-buzcUdW459wuasa6AtKuFyLgvsNwxdhH8QzXO-wGg6e9bw_aem_dPIjj_DuJPc4kPKQdYUUDw&amp;e=AUBpSrn0DPlaoe8vrOcrsiZkR6BkSkdmmBisgGhRm9xAM2D82DVmkop2GsQGmiKPSlGLkDIrBrwjZEHG5LkEd_YdSInchNOs0bfta7TxzA&amp;s=1</v>
      </c>
      <c r="R74" s="61"/>
      <c r="S74" s="61" t="str">
        <f>IFERROR(__xludf.DUMMYFUNCTION("""COMPUTED_VALUE"""),"NEW PASSEPORT.pdf")</f>
        <v>NEW PASSEPORT.pdf</v>
      </c>
      <c r="T74" s="61" t="str">
        <f>IFERROR(__xludf.DUMMYFUNCTION("""COMPUTED_VALUE"""),"Photo.jpg")</f>
        <v>Photo.jpg</v>
      </c>
      <c r="U74" s="61" t="str">
        <f>IFERROR(__xludf.DUMMYFUNCTION("""COMPUTED_VALUE"""),"Bachelor's")</f>
        <v>Bachelor's</v>
      </c>
      <c r="V74" s="61" t="str">
        <f>IFERROR(__xludf.DUMMYFUNCTION("""COMPUTED_VALUE"""),"Bachelor's")</f>
        <v>Bachelor's</v>
      </c>
      <c r="W74" s="61" t="str">
        <f>IFERROR(__xludf.DUMMYFUNCTION("""COMPUTED_VALUE"""),"Environmental Science and Management")</f>
        <v>Environmental Science and Management</v>
      </c>
      <c r="X74" s="61" t="str">
        <f>IFERROR(__xludf.DUMMYFUNCTION("""COMPUTED_VALUE"""),"University of Kinshasa")</f>
        <v>University of Kinshasa</v>
      </c>
      <c r="Y74" s="61" t="str">
        <f>IFERROR(__xludf.DUMMYFUNCTION("""COMPUTED_VALUE"""),"No")</f>
        <v>No</v>
      </c>
      <c r="Z74" s="61" t="str">
        <f>IFERROR(__xludf.DUMMYFUNCTION("""COMPUTED_VALUE"""),"The Democratic Republic of the Congo")</f>
        <v>The Democratic Republic of the Congo</v>
      </c>
      <c r="AA74" s="61" t="str">
        <f>IFERROR(__xludf.DUMMYFUNCTION("""COMPUTED_VALUE"""),"No")</f>
        <v>No</v>
      </c>
      <c r="AB74" s="61"/>
      <c r="AC74" s="61" t="str">
        <f>IFERROR(__xludf.DUMMYFUNCTION("""COMPUTED_VALUE"""),"Yes, of course")</f>
        <v>Yes, of course</v>
      </c>
      <c r="AD74" s="61" t="str">
        <f>IFERROR(__xludf.DUMMYFUNCTION("""COMPUTED_VALUE"""),"Centre for the Promotion of Women and Girls (CEPF – Non-Governmental  Organization)")</f>
        <v>Centre for the Promotion of Women and Girls (CEPF – Non-Governmental  Organization)</v>
      </c>
      <c r="AE74" s="65" t="str">
        <f>IFERROR(__xludf.DUMMYFUNCTION("""COMPUTED_VALUE"""),"https://cepf-rdc.org/a-propos")</f>
        <v>https://cepf-rdc.org/a-propos</v>
      </c>
      <c r="AF74" s="61" t="str">
        <f>IFERROR(__xludf.DUMMYFUNCTION("""COMPUTED_VALUE"""),"Program and Project Manager")</f>
        <v>Program and Project Manager</v>
      </c>
      <c r="AG74" s="61" t="str">
        <f>IFERROR(__xludf.DUMMYFUNCTION("""COMPUTED_VALUE"""),"5 years")</f>
        <v>5 years</v>
      </c>
      <c r="AH74" s="61" t="str">
        <f>IFERROR(__xludf.DUMMYFUNCTION("""COMPUTED_VALUE"""),"Yes")</f>
        <v>Yes</v>
      </c>
      <c r="AI74" s="61" t="str">
        <f>IFERROR(__xludf.DUMMYFUNCTION("""COMPUTED_VALUE"""),"Program and Project Manager")</f>
        <v>Program and Project Manager</v>
      </c>
      <c r="AJ74" s="61" t="str">
        <f>IFERROR(__xludf.DUMMYFUNCTION("""COMPUTED_VALUE"""),"Yes")</f>
        <v>Yes</v>
      </c>
      <c r="AK74" s="61" t="str">
        <f>IFERROR(__xludf.DUMMYFUNCTION("""COMPUTED_VALUE"""),"Promoting the rights, leadership, empowerment and effective participation of women, youth and local and indigenous communities in governance and sustainable development processes, while contributing to environmental protection, social justice, cultural pr"&amp;"eservation and the sustainable management of natural resources.")</f>
        <v>Promoting the rights, leadership, empowerment and effective participation of women, youth and local and indigenous communities in governance and sustainable development processes, while contributing to environmental protection, social justice, cultural preservation and the sustainable management of natural resources.</v>
      </c>
      <c r="AL74" s="61" t="str">
        <f>IFERROR(__xludf.DUMMYFUNCTION("""COMPUTED_VALUE"""),"Leadership and Team Management Community Mobilization and Engagement Project Planning and Management Community Forestry and Natural Resource Management Climate Change and Environmental Conservation Indigenous Peoples and Community Empowerment Sustainable "&amp;"Development and SDG Implementation Capacity Building and Training Facilitation Participatory Mapping and Land Tenure Governance Monitoring, Evaluation, and Reporting (MRV) Public Speaking and Strategic Communication Stakeholder Engagement and Partnership "&amp;"Building Research, Data Collection, and Analysis Green Entrepreneurship and Sustainable Livelihoods Cross-Cultural Collaboration and Youth Advocacy")</f>
        <v>Leadership and Team Management Community Mobilization and Engagement Project Planning and Management Community Forestry and Natural Resource Management Climate Change and Environmental Conservation Indigenous Peoples and Community Empowerment Sustainable Development and SDG Implementation Capacity Building and Training Facilitation Participatory Mapping and Land Tenure Governance Monitoring, Evaluation, and Reporting (MRV) Public Speaking and Strategic Communication Stakeholder Engagement and Partnership Building Research, Data Collection, and Analysis Green Entrepreneurship and Sustainable Livelihoods Cross-Cultural Collaboration and Youth Advocacy</v>
      </c>
      <c r="AM74" s="61" t="str">
        <f>IFERROR(__xludf.DUMMYFUNCTION("""COMPUTED_VALUE"""),"Elnathan_NKULI_MOLA_resume (3).pdf")</f>
        <v>Elnathan_NKULI_MOLA_resume (3).pdf</v>
      </c>
      <c r="AN74" s="61" t="str">
        <f>IFERROR(__xludf.DUMMYFUNCTION("""COMPUTED_VALUE"""),"**Yes.** I believe meaningful global change begins with local action. In the Democratic Republic of the Congo, I have dedicated more than five years to empowering local and Indigenous communities through sustainable development initiatives. As Co-Founder "&amp;"of FPED, I have trained and supported over 350 young people and Indigenous community members in environmental education, community forestry, green entrepreneurship, and climate resilience. I have also promoted ecological bamboo carbonization to reduce def"&amp;"orestation and strengthen sustainable livelihoods. Through these initiatives, I strive to transform local challenges into practical, inclusive solutions while inspiring young people to become active leaders and changemakers in their communities.")</f>
        <v>**Yes.** I believe meaningful global change begins with local action. In the Democratic Republic of the Congo, I have dedicated more than five years to empowering local and Indigenous communities through sustainable development initiatives. As Co-Founder of FPED, I have trained and supported over 350 young people and Indigenous community members in environmental education, community forestry, green entrepreneurship, and climate resilience. I have also promoted ecological bamboo carbonization to reduce deforestation and strengthen sustainable livelihoods. Through these initiatives, I strive to transform local challenges into practical, inclusive solutions while inspiring young people to become active leaders and changemakers in their communities.</v>
      </c>
      <c r="AO74" s="61" t="str">
        <f>IFERROR(__xludf.DUMMYFUNCTION("""COMPUTED_VALUE"""),"I believe no single country is the “most important” diplomatically, as today’s global challenges require collective leadership and international cooperation. However, I consider **Indonesia** to play an increasingly significant diplomatic role. As a leade"&amp;"r in ASEAN, a member of the G20, and a country with a long tradition of promoting dialogue among diverse cultures and nations, Indonesia has demonstrated its ability to build consensus and foster peaceful cooperation. Its commitment to multilateralism and"&amp;" South–South cooperation makes it an inspiring example of how diplomacy can bridge differences and contribute to global peace and sustainable development.")</f>
        <v>I believe no single country is the “most important” diplomatically, as today’s global challenges require collective leadership and international cooperation. However, I consider **Indonesia** to play an increasingly significant diplomatic role. As a leader in ASEAN, a member of the G20, and a country with a long tradition of promoting dialogue among diverse cultures and nations, Indonesia has demonstrated its ability to build consensus and foster peaceful cooperation. Its commitment to multilateralism and South–South cooperation makes it an inspiring example of how diplomacy can bridge differences and contribute to global peace and sustainable development.</v>
      </c>
      <c r="AP74" s="61" t="str">
        <f>IFERROR(__xludf.DUMMYFUNCTION("""COMPUTED_VALUE"""),"I believe young people are not only the future of diplomacy—they are already shaping it today. In an increasingly interconnected world, youth serve as bridges between communities, cultures, and institutions. Through innovation, dialogue, and civic engagem"&amp;"ent, they bring fresh perspectives to global challenges while promoting peace, inclusion, and sustainable development.
Coming from the Democratic Republic of the Congo, a country that continues to face armed conflicts, humanitarian challenges, and disput"&amp;"es over natural resources, I have witnessed how the absence of dialogue and inclusive governance can deepen divisions. These realities have strengthened my belief that diplomacy should not be limited to governments; it must also empower young people, civi"&amp;"l society, and local communities to become active peacebuilders.
To me, public diplomacy is about building trust, fostering mutual understanding, and creating partnerships that transcend borders. Through my work with local and Indigenous communities, gov"&amp;"ernment authorities, NGOs, and international partners, I promote community forestry, climate resilience, and inclusive governance. By encouraging dialogue, strengthening local leadership, and advocating for Indigenous rights, I help connect local realitie"&amp;"s with global priorities.
I see myself as a community-based public diplomacy practitioner who believes lasting peace begins with listening, respecting cultural diversity, and transforming local experiences into collaborative solutions that inspire region"&amp;"al and global cooperation.")</f>
        <v>I believe young people are not only the future of diplomacy—they are already shaping it today. In an increasingly interconnected world, youth serve as bridges between communities, cultures, and institutions. Through innovation, dialogue, and civic engagement, they bring fresh perspectives to global challenges while promoting peace, inclusion, and sustainable development.
Coming from the Democratic Republic of the Congo, a country that continues to face armed conflicts, humanitarian challenges, and disputes over natural resources, I have witnessed how the absence of dialogue and inclusive governance can deepen divisions. These realities have strengthened my belief that diplomacy should not be limited to governments; it must also empower young people, civil society, and local communities to become active peacebuilders.
To me, public diplomacy is about building trust, fostering mutual understanding, and creating partnerships that transcend borders. Through my work with local and Indigenous communities, government authorities, NGOs, and international partners, I promote community forestry, climate resilience, and inclusive governance. By encouraging dialogue, strengthening local leadership, and advocating for Indigenous rights, I help connect local realities with global priorities.
I see myself as a community-based public diplomacy practitioner who believes lasting peace begins with listening, respecting cultural diversity, and transforming local experiences into collaborative solutions that inspire regional and global cooperation.</v>
      </c>
      <c r="AQ74" s="61" t="str">
        <f>IFERROR(__xludf.DUMMYFUNCTION("""COMPUTED_VALUE"""),"To me, passion is the inner force that transforms purpose into action, even in the face of adversity. It is what gives us the courage to persevere and serve others despite challenges.
Growing up and working in the Democratic Republic of the Congo, where "&amp;"many communities continue to face conflict, environmental degradation, and social inequalities, has strengthened my passion for peace, sustainable development, and community empowerment. Rather than accepting these challenges as permanent, I have chosen t"&amp;"o contribute through action. For over five years, I have supported local and Indigenous communities by promoting community forestry, climate resilience, environmental education, and sustainable livelihoods, reaching more than 350 young people and communit"&amp;"y members.
My passion reminds me that meaningful change begins locally but can inspire global transformation. It drives me to build bridges instead of barriers, encourage dialogue instead of division, and contribute to a future where development, peace, "&amp;"and human dignity go hand in hand.")</f>
        <v>To me, passion is the inner force that transforms purpose into action, even in the face of adversity. It is what gives us the courage to persevere and serve others despite challenges.
Growing up and working in the Democratic Republic of the Congo, where many communities continue to face conflict, environmental degradation, and social inequalities, has strengthened my passion for peace, sustainable development, and community empowerment. Rather than accepting these challenges as permanent, I have chosen to contribute through action. For over five years, I have supported local and Indigenous communities by promoting community forestry, climate resilience, environmental education, and sustainable livelihoods, reaching more than 350 young people and community members.
My passion reminds me that meaningful change begins locally but can inspire global transformation. It drives me to build bridges instead of barriers, encourage dialogue instead of division, and contribute to a future where development, peace, and human dignity go hand in hand.</v>
      </c>
      <c r="AR74" s="61" t="str">
        <f>IFERROR(__xludf.DUMMYFUNCTION("""COMPUTED_VALUE"""),"Yes, I consider myself a creative person because I enjoy transforming complex challenges into practical and sustainable solutions. Creativity, to me, is about connecting people, ideas, and opportunities to create lasting impact.
Living and working in the"&amp;" Democratic Republic of the Congo has shown me how conflict, environmental degradation, and social inequalities can weaken trust between communities. I believe public diplomacy can help rebuild that trust by promoting dialogue, mutual understanding, and c"&amp;"ooperation instead of division.
In my work, I have applied creativity by promoting ecological bamboo carbonization, supporting community forestry, and designing community-based training programs that combine Indigenous knowledge with modern environmental"&amp;" practices. These initiatives have strengthened livelihoods while encouraging collaboration among communities, local authorities, and development partners.
As a public diplomacy strategy, I would combine storytelling, intercultural dialogue, digital comm"&amp;"unication, and emerging technologies such as Artificial Intelligence to amplify local voices, counter misinformation, and encourage evidence-based decision-making. I believe diplomacy should not only occur between governments but also among communities, y"&amp;"oung leaders, and civil society. By transforming local experiences into shared global solutions, we can foster peace, resilience, and sustainable development in conflict-affected regions and beyond.")</f>
        <v>Yes, I consider myself a creative person because I enjoy transforming complex challenges into practical and sustainable solutions. Creativity, to me, is about connecting people, ideas, and opportunities to create lasting impact.
Living and working in the Democratic Republic of the Congo has shown me how conflict, environmental degradation, and social inequalities can weaken trust between communities. I believe public diplomacy can help rebuild that trust by promoting dialogue, mutual understanding, and cooperation instead of division.
In my work, I have applied creativity by promoting ecological bamboo carbonization, supporting community forestry, and designing community-based training programs that combine Indigenous knowledge with modern environmental practices. These initiatives have strengthened livelihoods while encouraging collaboration among communities, local authorities, and development partners.
As a public diplomacy strategy, I would combine storytelling, intercultural dialogue, digital communication, and emerging technologies such as Artificial Intelligence to amplify local voices, counter misinformation, and encourage evidence-based decision-making. I believe diplomacy should not only occur between governments but also among communities, young leaders, and civil society. By transforming local experiences into shared global solutions, we can foster peace, resilience, and sustainable development in conflict-affected regions and beyond.</v>
      </c>
      <c r="AS74" s="61" t="str">
        <f>IFERROR(__xludf.DUMMYFUNCTION("""COMPUTED_VALUE"""),"Yes")</f>
        <v>Yes</v>
      </c>
      <c r="AT74" s="61" t="str">
        <f>IFERROR(__xludf.DUMMYFUNCTION("""COMPUTED_VALUE"""),"Yes")</f>
        <v>Yes</v>
      </c>
      <c r="AU74" s="61" t="str">
        <f>IFERROR(__xludf.DUMMYFUNCTION("""COMPUTED_VALUE"""),"Strategy, Peace &amp; Cultural Diplomacy")</f>
        <v>Strategy, Peace &amp; Cultural Diplomacy</v>
      </c>
      <c r="AV74" s="61" t="str">
        <f>IFERROR(__xludf.DUMMYFUNCTION("""COMPUTED_VALUE"""),"Media")</f>
        <v>Media</v>
      </c>
      <c r="AW74" s="61" t="str">
        <f>IFERROR(__xludf.DUMMYFUNCTION("""COMPUTED_VALUE"""),"Strategy, peace &amp; Cultural diplomacy")</f>
        <v>Strategy, peace &amp; Cultural diplomacy</v>
      </c>
      <c r="AX74" s="66" t="str">
        <f>IFERROR(__xludf.DUMMYFUNCTION("""COMPUTED_VALUE"""),"Yes")</f>
        <v>Yes</v>
      </c>
      <c r="AY74" s="66">
        <f>IFERROR(__xludf.DUMMYFUNCTION("""COMPUTED_VALUE"""),15.99)</f>
        <v>15.99</v>
      </c>
      <c r="AZ74" s="61"/>
      <c r="BA74" s="61"/>
      <c r="BB74" s="61"/>
      <c r="BC74" s="61"/>
      <c r="BD74" s="61"/>
      <c r="BE74" s="61"/>
      <c r="BF74" s="61"/>
      <c r="BG74" s="61"/>
      <c r="BH74" s="61"/>
      <c r="BI74" s="61"/>
      <c r="BJ74" s="61"/>
      <c r="BK74" s="61"/>
      <c r="BL74" s="61"/>
      <c r="BM74" s="61"/>
      <c r="BN74" s="61"/>
      <c r="BO74" s="61"/>
      <c r="BP74" s="61"/>
      <c r="BQ74" s="61"/>
      <c r="BR74" s="61"/>
    </row>
    <row r="75" ht="15.75" customHeight="1">
      <c r="A75" s="61" t="str">
        <f>IFERROR(__xludf.DUMMYFUNCTION("""COMPUTED_VALUE"""),"Self")</f>
        <v>Self</v>
      </c>
      <c r="B75" s="62">
        <f>IFERROR(__xludf.DUMMYFUNCTION("""COMPUTED_VALUE"""),92.0)</f>
        <v>92</v>
      </c>
      <c r="C75" s="61" t="str">
        <f>IFERROR(__xludf.DUMMYFUNCTION("""COMPUTED_VALUE"""),"Self")</f>
        <v>Self</v>
      </c>
      <c r="D75" s="63" t="str">
        <f>IFERROR(__xludf.DUMMYFUNCTION("""COMPUTED_VALUE"""),"Submitted")</f>
        <v>Submitted</v>
      </c>
      <c r="E75" s="63">
        <f>IFERROR(__xludf.DUMMYFUNCTION("""COMPUTED_VALUE"""),46204.58333333334)</f>
        <v>46204.58333</v>
      </c>
      <c r="F75" s="61" t="str">
        <f>IFERROR(__xludf.DUMMYFUNCTION("""COMPUTED_VALUE"""),"Robiyabegim Mekhrillaeva")</f>
        <v>Robiyabegim Mekhrillaeva</v>
      </c>
      <c r="G75" s="61" t="str">
        <f>IFERROR(__xludf.DUMMYFUNCTION("""COMPUTED_VALUE"""),"Robiyabegim Mekhrillaeva")</f>
        <v>Robiyabegim Mekhrillaeva</v>
      </c>
      <c r="H75" s="61" t="str">
        <f>IFERROR(__xludf.DUMMYFUNCTION("""COMPUTED_VALUE"""),"ROBIYABEGIM_25013096@UTP.EDU.MY")</f>
        <v>ROBIYABEGIM_25013096@UTP.EDU.MY</v>
      </c>
      <c r="I75" s="61" t="str">
        <f>IFERROR(__xludf.DUMMYFUNCTION("""COMPUTED_VALUE"""),"robiyamehrullayeva@gmail.com")</f>
        <v>robiyamehrullayeva@gmail.com</v>
      </c>
      <c r="J75" s="61" t="str">
        <f>IFERROR(__xludf.DUMMYFUNCTION("""COMPUTED_VALUE"""),"Persiaran UTP, 32610 Seri Iskandar, Perak, Seri Iskandar, Malaysia")</f>
        <v>Persiaran UTP, 32610 Seri Iskandar, Perak, Seri Iskandar, Malaysia</v>
      </c>
      <c r="K75" s="61" t="str">
        <f>IFERROR(__xludf.DUMMYFUNCTION("""COMPUTED_VALUE"""),"Uzbek")</f>
        <v>Uzbek</v>
      </c>
      <c r="L75" s="64" t="str">
        <f>IFERROR(__xludf.DUMMYFUNCTION("""COMPUTED_VALUE"""),"+60135365113")</f>
        <v>+60135365113</v>
      </c>
      <c r="M75" s="64">
        <f>IFERROR(__xludf.DUMMYFUNCTION("""COMPUTED_VALUE"""),37899.0)</f>
        <v>37899</v>
      </c>
      <c r="N75" s="61" t="str">
        <f>IFERROR(__xludf.DUMMYFUNCTION("""COMPUTED_VALUE"""),"FB1257469")</f>
        <v>FB1257469</v>
      </c>
      <c r="O75" s="61" t="str">
        <f>IFERROR(__xludf.DUMMYFUNCTION("""COMPUTED_VALUE"""),"+998946560671")</f>
        <v>+998946560671</v>
      </c>
      <c r="P75" s="67" t="str">
        <f>IFERROR(__xludf.DUMMYFUNCTION("""COMPUTED_VALUE"""),"www.linkedin.com/in/robiyabegim-mekhrillaeva-851923238")</f>
        <v>www.linkedin.com/in/robiyabegim-mekhrillaeva-851923238</v>
      </c>
      <c r="Q75" s="61"/>
      <c r="R75" s="61"/>
      <c r="S75" s="61" t="str">
        <f>IFERROR(__xludf.DUMMYFUNCTION("""COMPUTED_VALUE"""),"Passport.pdf")</f>
        <v>Passport.pdf</v>
      </c>
      <c r="T75" s="61" t="str">
        <f>IFERROR(__xludf.DUMMYFUNCTION("""COMPUTED_VALUE"""),"photo_2025-05-28_00-19-17.jpg")</f>
        <v>photo_2025-05-28_00-19-17.jpg</v>
      </c>
      <c r="U75" s="61" t="str">
        <f>IFERROR(__xludf.DUMMYFUNCTION("""COMPUTED_VALUE"""),"Master's")</f>
        <v>Master's</v>
      </c>
      <c r="V75" s="61" t="str">
        <f>IFERROR(__xludf.DUMMYFUNCTION("""COMPUTED_VALUE"""),"Master of Science")</f>
        <v>Master of Science</v>
      </c>
      <c r="W75" s="61" t="str">
        <f>IFERROR(__xludf.DUMMYFUNCTION("""COMPUTED_VALUE"""),"Petroleum Engineering")</f>
        <v>Petroleum Engineering</v>
      </c>
      <c r="X75" s="61" t="str">
        <f>IFERROR(__xludf.DUMMYFUNCTION("""COMPUTED_VALUE"""),"Universiti Teknologi Petronas")</f>
        <v>Universiti Teknologi Petronas</v>
      </c>
      <c r="Y75" s="61" t="str">
        <f>IFERROR(__xludf.DUMMYFUNCTION("""COMPUTED_VALUE"""),"Yes")</f>
        <v>Yes</v>
      </c>
      <c r="Z75" s="61" t="str">
        <f>IFERROR(__xludf.DUMMYFUNCTION("""COMPUTED_VALUE"""),"Malaysia")</f>
        <v>Malaysia</v>
      </c>
      <c r="AA75" s="61" t="str">
        <f>IFERROR(__xludf.DUMMYFUNCTION("""COMPUTED_VALUE"""),"No")</f>
        <v>No</v>
      </c>
      <c r="AB75" s="61"/>
      <c r="AC75" s="61" t="str">
        <f>IFERROR(__xludf.DUMMYFUNCTION("""COMPUTED_VALUE"""),"Yes")</f>
        <v>Yes</v>
      </c>
      <c r="AD75" s="61" t="str">
        <f>IFERROR(__xludf.DUMMYFUNCTION("""COMPUTED_VALUE"""),"Society of Petroleum Engineers in Tashkent")</f>
        <v>Society of Petroleum Engineers in Tashkent</v>
      </c>
      <c r="AE75" s="61"/>
      <c r="AF75" s="61" t="str">
        <f>IFERROR(__xludf.DUMMYFUNCTION("""COMPUTED_VALUE"""),"Organizing of petrogames and english classes for engineers and students")</f>
        <v>Organizing of petrogames and english classes for engineers and students</v>
      </c>
      <c r="AG75" s="61"/>
      <c r="AH75" s="61" t="str">
        <f>IFERROR(__xludf.DUMMYFUNCTION("""COMPUTED_VALUE"""),"No")</f>
        <v>No</v>
      </c>
      <c r="AI75" s="61"/>
      <c r="AJ75" s="61"/>
      <c r="AK75" s="61"/>
      <c r="AL75" s="61" t="str">
        <f>IFERROR(__xludf.DUMMYFUNCTION("""COMPUTED_VALUE"""),"Engineer")</f>
        <v>Engineer</v>
      </c>
      <c r="AM75" s="61" t="str">
        <f>IFERROR(__xludf.DUMMYFUNCTION("""COMPUTED_VALUE"""),"My CV.pdf")</f>
        <v>My CV.pdf</v>
      </c>
      <c r="AN75" s="61" t="str">
        <f>IFERROR(__xludf.DUMMYFUNCTION("""COMPUTED_VALUE"""),"Yes, I believe positive change begins with small actions. During my university years in Tashkent, I helped organize engineering events such as PetroGames (with over 30 participants) and SPE talks, where students discussed engineering challenges with profe"&amp;"ssionals from LUKOIL and Uzbekneftegaz. I also assisted in laboratory sessions using PIPESIM software and organized English mock tests — out of 20 participants, three later passed IELTS, with one achieving 7.0. Today, I am creating engineering video lesso"&amp;"ns in English, Russian, and Uzbek so students from different backgrounds can access quality educational resources. These experiences taught me that sharing knowledge creates real opportunities for others.")</f>
        <v>Yes, I believe positive change begins with small actions. During my university years in Tashkent, I helped organize engineering events such as PetroGames (with over 30 participants) and SPE talks, where students discussed engineering challenges with professionals from LUKOIL and Uzbekneftegaz. I also assisted in laboratory sessions using PIPESIM software and organized English mock tests — out of 20 participants, three later passed IELTS, with one achieving 7.0. Today, I am creating engineering video lessons in English, Russian, and Uzbek so students from different backgrounds can access quality educational resources. These experiences taught me that sharing knowledge creates real opportunities for others.</v>
      </c>
      <c r="AO75" s="61" t="str">
        <f>IFERROR(__xludf.DUMMYFUNCTION("""COMPUTED_VALUE"""),"I believe Uzbekistan is becoming one of the most diplomatically significant countries in Central Asia. Since 2016, my country has strengthened cooperation with neighboring states, resolved long-standing border and water issues, and expanded international "&amp;"partnerships. Uzbekistan is also investing in its young generation through programs such as El-Yurt Umidi, giving talented students the chance to study at leading universities abroad. These educational partnerships build lasting connections between countr"&amp;"ies and strengthen mutual understanding. Thanks to these opportunities, I studied in Malaysia, where I experienced firsthand how education and cultural exchange can turn a country's openness into real international cooperation.")</f>
        <v>I believe Uzbekistan is becoming one of the most diplomatically significant countries in Central Asia. Since 2016, my country has strengthened cooperation with neighboring states, resolved long-standing border and water issues, and expanded international partnerships. Uzbekistan is also investing in its young generation through programs such as El-Yurt Umidi, giving talented students the chance to study at leading universities abroad. These educational partnerships build lasting connections between countries and strengthen mutual understanding. Thanks to these opportunities, I studied in Malaysia, where I experienced firsthand how education and cultural exchange can turn a country's openness into real international cooperation.</v>
      </c>
      <c r="AP75" s="61" t="str">
        <f>IFERROR(__xludf.DUMMYFUNCTION("""COMPUTED_VALUE"""),"I believe young people play an important role in diplomacy because they represent their countries through education, communication, and cultural exchange. Diplomacy is not limited to ambassadors; students also become informal representatives of their nati"&amp;"ons. While studying in Malaysia, I always tried to share the culture of Uzbekistan, speak positively about my country, and exchange traditions with my international friends. I believe actions are more powerful than words. Being respectful, honest, hardwor"&amp;"king, and open-minded creates a positive image of one's country. Whether we realize it or not, people often form opinions about a nation based on the individuals they meet — a single conversation, a shared meal, or a moment of genuine curiosity can change"&amp;" how someone sees an entire culture. That is why every young person studying abroad has the opportunity to contribute to public diplomacy, not through official titles, but through everyday honesty, curiosity, and the small connections we build with people"&amp;" from other cultures. I try to remember this in every interaction, because I know I am not just representing myself, but my country as well.")</f>
        <v>I believe young people play an important role in diplomacy because they represent their countries through education, communication, and cultural exchange. Diplomacy is not limited to ambassadors; students also become informal representatives of their nations. While studying in Malaysia, I always tried to share the culture of Uzbekistan, speak positively about my country, and exchange traditions with my international friends. I believe actions are more powerful than words. Being respectful, honest, hardworking, and open-minded creates a positive image of one's country. Whether we realize it or not, people often form opinions about a nation based on the individuals they meet — a single conversation, a shared meal, or a moment of genuine curiosity can change how someone sees an entire culture. That is why every young person studying abroad has the opportunity to contribute to public diplomacy, not through official titles, but through everyday honesty, curiosity, and the small connections we build with people from other cultures. I try to remember this in every interaction, because I know I am not just representing myself, but my country as well.</v>
      </c>
      <c r="AQ75" s="61" t="str">
        <f>IFERROR(__xludf.DUMMYFUNCTION("""COMPUTED_VALUE"""),"Passion is an inner force that keeps a person moving forward despite challenges. It gives purpose, motivation, and the determination not to give up. For me, passion has always been curiosity. Since childhood, I have been fascinated by technology, mathemat"&amp;"ics, and physics. My parents sometimes questioned why I spent so much time studying these subjects, but I was never motivated only by grades or results — I simply wanted to understand how things work and how technology can improve people's lives. This cur"&amp;"iosity is what pushed me to master PIPESIM software on my own and later help my classmates use it during laboratory sessions. Every day I look forward to learning something new, developing new skills, and creating meaningful solutions. I believe passion i"&amp;"s essential because it transforms hard work into something enjoyable and helps people keep growing even when the path becomes difficult.")</f>
        <v>Passion is an inner force that keeps a person moving forward despite challenges. It gives purpose, motivation, and the determination not to give up. For me, passion has always been curiosity. Since childhood, I have been fascinated by technology, mathematics, and physics. My parents sometimes questioned why I spent so much time studying these subjects, but I was never motivated only by grades or results — I simply wanted to understand how things work and how technology can improve people's lives. This curiosity is what pushed me to master PIPESIM software on my own and later help my classmates use it during laboratory sessions. Every day I look forward to learning something new, developing new skills, and creating meaningful solutions. I believe passion is essential because it transforms hard work into something enjoyable and helps people keep growing even when the path becomes difficult.</v>
      </c>
      <c r="AR75" s="61" t="str">
        <f>IFERROR(__xludf.DUMMYFUNCTION("""COMPUTED_VALUE"""),"Yes, I consider myself a creative person. One of my favorite hobbies is drawing, especially portrait art. I like making handmade gifts for people I respect, including my teachers and close friends, because I think a personal gift shows more appreciation t"&amp;"han something expensive. During my studies in Malaysia, I once gave a hand-drawn portrait to a foreign classmate, and he told me it meant more to him than any souvenir he had received. That moment showed me how something small and creative can connect peo"&amp;"ple from completely different backgrounds. I think creativity can be a real tool for public diplomacy — a drawing or a handmade gift can start a conversation and stay in someone's memory much longer than a formal speech. In the future, I would like to com"&amp;"bine creativity with education by organizing cultural exhibitions, art workshops, and international student projects. These kinds of activities can help people understand and appreciate different cultures through real, personal connections, not just offic"&amp;"ial events.")</f>
        <v>Yes, I consider myself a creative person. One of my favorite hobbies is drawing, especially portrait art. I like making handmade gifts for people I respect, including my teachers and close friends, because I think a personal gift shows more appreciation than something expensive. During my studies in Malaysia, I once gave a hand-drawn portrait to a foreign classmate, and he told me it meant more to him than any souvenir he had received. That moment showed me how something small and creative can connect people from completely different backgrounds. I think creativity can be a real tool for public diplomacy — a drawing or a handmade gift can start a conversation and stay in someone's memory much longer than a formal speech. In the future, I would like to combine creativity with education by organizing cultural exhibitions, art workshops, and international student projects. These kinds of activities can help people understand and appreciate different cultures through real, personal connections, not just official events.</v>
      </c>
      <c r="AS75" s="61" t="str">
        <f>IFERROR(__xludf.DUMMYFUNCTION("""COMPUTED_VALUE"""),"Yes")</f>
        <v>Yes</v>
      </c>
      <c r="AT75" s="61" t="str">
        <f>IFERROR(__xludf.DUMMYFUNCTION("""COMPUTED_VALUE"""),"Yes")</f>
        <v>Yes</v>
      </c>
      <c r="AU75" s="61" t="str">
        <f>IFERROR(__xludf.DUMMYFUNCTION("""COMPUTED_VALUE"""),"Global Politics, Diplomacy &amp; Identities")</f>
        <v>Global Politics, Diplomacy &amp; Identities</v>
      </c>
      <c r="AV75" s="61" t="str">
        <f>IFERROR(__xludf.DUMMYFUNCTION("""COMPUTED_VALUE"""),"Social Media Telegram, Grant go")</f>
        <v>Social Media Telegram, Grant go</v>
      </c>
      <c r="AW75" s="61"/>
      <c r="AX75" s="66" t="str">
        <f>IFERROR(__xludf.DUMMYFUNCTION("""COMPUTED_VALUE"""),"Yes")</f>
        <v>Yes</v>
      </c>
      <c r="AY75" s="66">
        <f>IFERROR(__xludf.DUMMYFUNCTION("""COMPUTED_VALUE"""),15.99)</f>
        <v>15.99</v>
      </c>
      <c r="AZ75" s="61"/>
      <c r="BA75" s="61"/>
      <c r="BB75" s="61"/>
      <c r="BC75" s="61"/>
      <c r="BD75" s="61"/>
      <c r="BE75" s="61"/>
      <c r="BF75" s="61"/>
      <c r="BG75" s="61"/>
      <c r="BH75" s="61"/>
      <c r="BI75" s="61"/>
      <c r="BJ75" s="61"/>
      <c r="BK75" s="61"/>
      <c r="BL75" s="61"/>
      <c r="BM75" s="61"/>
      <c r="BN75" s="61"/>
      <c r="BO75" s="61"/>
      <c r="BP75" s="61"/>
      <c r="BQ75" s="61"/>
      <c r="BR75" s="61"/>
    </row>
    <row r="76" ht="15.75" customHeight="1">
      <c r="A76" s="61" t="str">
        <f>IFERROR(__xludf.DUMMYFUNCTION("""COMPUTED_VALUE"""),"Self")</f>
        <v>Self</v>
      </c>
      <c r="B76" s="62">
        <f>IFERROR(__xludf.DUMMYFUNCTION("""COMPUTED_VALUE"""),93.0)</f>
        <v>93</v>
      </c>
      <c r="C76" s="61" t="str">
        <f>IFERROR(__xludf.DUMMYFUNCTION("""COMPUTED_VALUE"""),"Self")</f>
        <v>Self</v>
      </c>
      <c r="D76" s="63" t="str">
        <f>IFERROR(__xludf.DUMMYFUNCTION("""COMPUTED_VALUE"""),"Submitted")</f>
        <v>Submitted</v>
      </c>
      <c r="E76" s="63">
        <f>IFERROR(__xludf.DUMMYFUNCTION("""COMPUTED_VALUE"""),46204.59305555555)</f>
        <v>46204.59306</v>
      </c>
      <c r="F76" s="61" t="str">
        <f>IFERROR(__xludf.DUMMYFUNCTION("""COMPUTED_VALUE"""),"Roy Guami Lasjordien")</f>
        <v>Roy Guami Lasjordien</v>
      </c>
      <c r="G76" s="61" t="str">
        <f>IFERROR(__xludf.DUMMYFUNCTION("""COMPUTED_VALUE"""),"Roy Guami Lasjordien")</f>
        <v>Roy Guami Lasjordien</v>
      </c>
      <c r="H76" s="61" t="str">
        <f>IFERROR(__xludf.DUMMYFUNCTION("""COMPUTED_VALUE"""),"royguamilasjordien@gmail.com")</f>
        <v>royguamilasjordien@gmail.com</v>
      </c>
      <c r="I76" s="61" t="str">
        <f>IFERROR(__xludf.DUMMYFUNCTION("""COMPUTED_VALUE"""),"roypangeranh717@gmail.com")</f>
        <v>roypangeranh717@gmail.com</v>
      </c>
      <c r="J76" s="61" t="str">
        <f>IFERROR(__xludf.DUMMYFUNCTION("""COMPUTED_VALUE"""),"Jl. Kramat Batu Dalam I No.48, Gandaria Selatan, Cilandak, Jakarta Selatan 12420, Jakarta Selatan, Indonesia")</f>
        <v>Jl. Kramat Batu Dalam I No.48, Gandaria Selatan, Cilandak, Jakarta Selatan 12420, Jakarta Selatan, Indonesia</v>
      </c>
      <c r="K76" s="61" t="str">
        <f>IFERROR(__xludf.DUMMYFUNCTION("""COMPUTED_VALUE"""),"Indonesia")</f>
        <v>Indonesia</v>
      </c>
      <c r="L76" s="64" t="str">
        <f>IFERROR(__xludf.DUMMYFUNCTION("""COMPUTED_VALUE"""),"+62895396257902")</f>
        <v>+62895396257902</v>
      </c>
      <c r="M76" s="64">
        <f>IFERROR(__xludf.DUMMYFUNCTION("""COMPUTED_VALUE"""),37148.0)</f>
        <v>37148</v>
      </c>
      <c r="N76" s="61" t="str">
        <f>IFERROR(__xludf.DUMMYFUNCTION("""COMPUTED_VALUE"""),"E4082147")</f>
        <v>E4082147</v>
      </c>
      <c r="O76" s="61" t="str">
        <f>IFERROR(__xludf.DUMMYFUNCTION("""COMPUTED_VALUE"""),"+62895401775522")</f>
        <v>+62895401775522</v>
      </c>
      <c r="P76" s="67" t="str">
        <f>IFERROR(__xludf.DUMMYFUNCTION("""COMPUTED_VALUE"""),"linkedin.com/in/roy-guami-lasjordien-956b7a23a")</f>
        <v>linkedin.com/in/roy-guami-lasjordien-956b7a23a</v>
      </c>
      <c r="Q76" s="61"/>
      <c r="R76" s="61"/>
      <c r="S76" s="61" t="str">
        <f>IFERROR(__xludf.DUMMYFUNCTION("""COMPUTED_VALUE"""),"f3b7c05f-8681-46b0-89e5-9f9a6286033e.jpeg")</f>
        <v>f3b7c05f-8681-46b0-89e5-9f9a6286033e.jpeg</v>
      </c>
      <c r="T76" s="61" t="str">
        <f>IFERROR(__xludf.DUMMYFUNCTION("""COMPUTED_VALUE"""),"IMG_1506.jpeg")</f>
        <v>IMG_1506.jpeg</v>
      </c>
      <c r="U76" s="61" t="str">
        <f>IFERROR(__xludf.DUMMYFUNCTION("""COMPUTED_VALUE"""),"Bachelors")</f>
        <v>Bachelors</v>
      </c>
      <c r="V76" s="61" t="str">
        <f>IFERROR(__xludf.DUMMYFUNCTION("""COMPUTED_VALUE"""),"Bachelors of Computer Science")</f>
        <v>Bachelors of Computer Science</v>
      </c>
      <c r="W76" s="61"/>
      <c r="X76" s="61" t="str">
        <f>IFERROR(__xludf.DUMMYFUNCTION("""COMPUTED_VALUE"""),"Bina Nusantara University")</f>
        <v>Bina Nusantara University</v>
      </c>
      <c r="Y76" s="61" t="str">
        <f>IFERROR(__xludf.DUMMYFUNCTION("""COMPUTED_VALUE"""),"Yes")</f>
        <v>Yes</v>
      </c>
      <c r="Z76" s="61" t="str">
        <f>IFERROR(__xludf.DUMMYFUNCTION("""COMPUTED_VALUE"""),"Indonesia")</f>
        <v>Indonesia</v>
      </c>
      <c r="AA76" s="61" t="str">
        <f>IFERROR(__xludf.DUMMYFUNCTION("""COMPUTED_VALUE"""),"No")</f>
        <v>No</v>
      </c>
      <c r="AB76" s="61"/>
      <c r="AC76" s="61"/>
      <c r="AD76" s="61" t="str">
        <f>IFERROR(__xludf.DUMMYFUNCTION("""COMPUTED_VALUE"""),"Yes, I have experience as a teacher who does teaching and learning activities for English education at the elementary school level")</f>
        <v>Yes, I have experience as a teacher who does teaching and learning activities for English education at the elementary school level</v>
      </c>
      <c r="AE76" s="65" t="str">
        <f>IFERROR(__xludf.DUMMYFUNCTION("""COMPUTED_VALUE"""),"https://mrbobkampunginggris.com/")</f>
        <v>https://mrbobkampunginggris.com/</v>
      </c>
      <c r="AF76" s="61" t="str">
        <f>IFERROR(__xludf.DUMMYFUNCTION("""COMPUTED_VALUE"""),"Volunteer")</f>
        <v>Volunteer</v>
      </c>
      <c r="AG76" s="61" t="str">
        <f>IFERROR(__xludf.DUMMYFUNCTION("""COMPUTED_VALUE"""),"0")</f>
        <v>0</v>
      </c>
      <c r="AH76" s="61" t="str">
        <f>IFERROR(__xludf.DUMMYFUNCTION("""COMPUTED_VALUE"""),"No")</f>
        <v>No</v>
      </c>
      <c r="AI76" s="61"/>
      <c r="AJ76" s="61"/>
      <c r="AK76" s="61"/>
      <c r="AL76" s="61" t="str">
        <f>IFERROR(__xludf.DUMMYFUNCTION("""COMPUTED_VALUE"""),"Engineer, businessman, politics")</f>
        <v>Engineer, businessman, politics</v>
      </c>
      <c r="AM76" s="61" t="str">
        <f>IFERROR(__xludf.DUMMYFUNCTION("""COMPUTED_VALUE"""),"Roy_Guami_Lasjordien_CV.pdf")</f>
        <v>Roy_Guami_Lasjordien_CV.pdf</v>
      </c>
      <c r="AN76" s="61" t="str">
        <f>IFERROR(__xludf.DUMMYFUNCTION("""COMPUTED_VALUE"""),"I will take roots from problems that occur in the world such as social inequality, education, and poverty or living worthiness. Such as conducting education and learning for underprivileged families for free, creating discussion group forums to exchange i"&amp;"deas and opinions, and so on. Because if the root of the problem is fixed, the gap that connects the world's crime chain will shrink and we can even solve it. If not us as the next generation of the nation then who else will do and continue as the breaker"&amp;" of this chain that will have an impact on human life in the future.")</f>
        <v>I will take roots from problems that occur in the world such as social inequality, education, and poverty or living worthiness. Such as conducting education and learning for underprivileged families for free, creating discussion group forums to exchange ideas and opinions, and so on. Because if the root of the problem is fixed, the gap that connects the world's crime chain will shrink and we can even solve it. If not us as the next generation of the nation then who else will do and continue as the breaker of this chain that will have an impact on human life in the future.</v>
      </c>
      <c r="AO76" s="61" t="str">
        <f>IFERROR(__xludf.DUMMYFUNCTION("""COMPUTED_VALUE"""),"A significant country in diplomacy is a country that can lead and encourage a policy through infrastructure investment networks, alliance networks, and institutions, as well as extensive embassies. So that it can become an international anchor")</f>
        <v>A significant country in diplomacy is a country that can lead and encourage a policy through infrastructure investment networks, alliance networks, and institutions, as well as extensive embassies. So that it can become an international anchor</v>
      </c>
      <c r="AP76" s="61" t="str">
        <f>IFERROR(__xludf.DUMMYFUNCTION("""COMPUTED_VALUE"""),"The role of youth in diplomacy is to observe the surrounding environment that occurs and then create an innovation idea that has been implemented so that it knows its success which will show the direction of whether the purpose of this idea is feasible an"&amp;"d developed in this country or other countries that are more suitable for this idea which requires an international diplomatic forum to exchange ideas, ideas and opinions with the aim of creating a country that is better for each other.")</f>
        <v>The role of youth in diplomacy is to observe the surrounding environment that occurs and then create an innovation idea that has been implemented so that it knows its success which will show the direction of whether the purpose of this idea is feasible and developed in this country or other countries that are more suitable for this idea which requires an international diplomatic forum to exchange ideas, ideas and opinions with the aim of creating a country that is better for each other.</v>
      </c>
      <c r="AQ76" s="61" t="str">
        <f>IFERROR(__xludf.DUMMYFUNCTION("""COMPUTED_VALUE"""),"In my opinion, passion is like identity or soul calling, we can do a job with dedication without pay as long as it makes us happy. With passion we can achieve each other's goals even if it is with a slow rhythm, like the Javanese proverb ""alon-alon asal "&amp;"kelakon"" which means that it's okay, slowly, the important thing is to reach the goal. And if we have a passion in life it will be the fuel to achieve our goals.")</f>
        <v>In my opinion, passion is like identity or soul calling, we can do a job with dedication without pay as long as it makes us happy. With passion we can achieve each other's goals even if it is with a slow rhythm, like the Javanese proverb "alon-alon asal kelakon" which means that it's okay, slowly, the important thing is to reach the goal. And if we have a passion in life it will be the fuel to achieve our goals.</v>
      </c>
      <c r="AR76" s="61" t="str">
        <f>IFERROR(__xludf.DUMMYFUNCTION("""COMPUTED_VALUE"""),"If you are called a creative person, I am not a creative person but I like to give innovative ideas to solve problems efficiently. The public diplomacy strategy that I will do is listening, evaluating, and making decisions in the idea that I made with the"&amp;" efficiency structure and the possibility of its implementation and we still have to look at the problems that exist in the future so that we think about strategies to mitigate the problem in the future.")</f>
        <v>If you are called a creative person, I am not a creative person but I like to give innovative ideas to solve problems efficiently. The public diplomacy strategy that I will do is listening, evaluating, and making decisions in the idea that I made with the efficiency structure and the possibility of its implementation and we still have to look at the problems that exist in the future so that we think about strategies to mitigate the problem in the future.</v>
      </c>
      <c r="AS76" s="61" t="str">
        <f>IFERROR(__xludf.DUMMYFUNCTION("""COMPUTED_VALUE"""),"Yes")</f>
        <v>Yes</v>
      </c>
      <c r="AT76" s="61" t="str">
        <f>IFERROR(__xludf.DUMMYFUNCTION("""COMPUTED_VALUE"""),"Yes")</f>
        <v>Yes</v>
      </c>
      <c r="AU76" s="61" t="str">
        <f>IFERROR(__xludf.DUMMYFUNCTION("""COMPUTED_VALUE"""),"Global Politics, Diplomacy &amp; Identities")</f>
        <v>Global Politics, Diplomacy &amp; Identities</v>
      </c>
      <c r="AV76" s="61" t="str">
        <f>IFERROR(__xludf.DUMMYFUNCTION("""COMPUTED_VALUE"""),"My colleague")</f>
        <v>My colleague</v>
      </c>
      <c r="AW76" s="61"/>
      <c r="AX76" s="66" t="str">
        <f>IFERROR(__xludf.DUMMYFUNCTION("""COMPUTED_VALUE"""),"Yes")</f>
        <v>Yes</v>
      </c>
      <c r="AY76" s="66">
        <f>IFERROR(__xludf.DUMMYFUNCTION("""COMPUTED_VALUE"""),15.99)</f>
        <v>15.99</v>
      </c>
      <c r="AZ76" s="61"/>
      <c r="BA76" s="61"/>
      <c r="BB76" s="61"/>
      <c r="BC76" s="61"/>
      <c r="BD76" s="61"/>
      <c r="BE76" s="61"/>
      <c r="BF76" s="61"/>
      <c r="BG76" s="61"/>
      <c r="BH76" s="61"/>
      <c r="BI76" s="61"/>
      <c r="BJ76" s="61"/>
      <c r="BK76" s="61"/>
      <c r="BL76" s="61"/>
      <c r="BM76" s="61"/>
      <c r="BN76" s="61"/>
      <c r="BO76" s="61"/>
      <c r="BP76" s="61"/>
      <c r="BQ76" s="61"/>
      <c r="BR76" s="61"/>
    </row>
    <row r="77" ht="15.75" customHeight="1">
      <c r="A77" s="61" t="str">
        <f>IFERROR(__xludf.DUMMYFUNCTION("""COMPUTED_VALUE"""),"Partial")</f>
        <v>Partial</v>
      </c>
      <c r="B77" s="62">
        <f>IFERROR(__xludf.DUMMYFUNCTION("""COMPUTED_VALUE"""),94.0)</f>
        <v>94</v>
      </c>
      <c r="C77" s="61" t="str">
        <f>IFERROR(__xludf.DUMMYFUNCTION("""COMPUTED_VALUE"""),"Partial")</f>
        <v>Partial</v>
      </c>
      <c r="D77" s="63" t="str">
        <f>IFERROR(__xludf.DUMMYFUNCTION("""COMPUTED_VALUE"""),"Submitted")</f>
        <v>Submitted</v>
      </c>
      <c r="E77" s="63">
        <f>IFERROR(__xludf.DUMMYFUNCTION("""COMPUTED_VALUE"""),46204.70277777778)</f>
        <v>46204.70278</v>
      </c>
      <c r="F77" s="61" t="str">
        <f>IFERROR(__xludf.DUMMYFUNCTION("""COMPUTED_VALUE"""),"Asliddin Norsamadov")</f>
        <v>Asliddin Norsamadov</v>
      </c>
      <c r="G77" s="61" t="str">
        <f>IFERROR(__xludf.DUMMYFUNCTION("""COMPUTED_VALUE"""),"Asliddin Norsamadov")</f>
        <v>Asliddin Norsamadov</v>
      </c>
      <c r="H77" s="61" t="str">
        <f>IFERROR(__xludf.DUMMYFUNCTION("""COMPUTED_VALUE"""),"asliddinwb04@gmail.com")</f>
        <v>asliddinwb04@gmail.com</v>
      </c>
      <c r="I77" s="61" t="str">
        <f>IFERROR(__xludf.DUMMYFUNCTION("""COMPUTED_VALUE"""),"asliddinwb@gmail.com")</f>
        <v>asliddinwb@gmail.com</v>
      </c>
      <c r="J77" s="61" t="str">
        <f>IFERROR(__xludf.DUMMYFUNCTION("""COMPUTED_VALUE"""),"Maxtimquli 97/2, Tashkent, Uzbekistan")</f>
        <v>Maxtimquli 97/2, Tashkent, Uzbekistan</v>
      </c>
      <c r="K77" s="61" t="str">
        <f>IFERROR(__xludf.DUMMYFUNCTION("""COMPUTED_VALUE"""),"Uzbek")</f>
        <v>Uzbek</v>
      </c>
      <c r="L77" s="64" t="str">
        <f>IFERROR(__xludf.DUMMYFUNCTION("""COMPUTED_VALUE"""),"+998905058481")</f>
        <v>+998905058481</v>
      </c>
      <c r="M77" s="64">
        <f>IFERROR(__xludf.DUMMYFUNCTION("""COMPUTED_VALUE"""),38312.0)</f>
        <v>38312</v>
      </c>
      <c r="N77" s="61" t="str">
        <f>IFERROR(__xludf.DUMMYFUNCTION("""COMPUTED_VALUE"""),"FA7721842")</f>
        <v>FA7721842</v>
      </c>
      <c r="O77" s="61" t="str">
        <f>IFERROR(__xludf.DUMMYFUNCTION("""COMPUTED_VALUE"""),"+998947472111")</f>
        <v>+998947472111</v>
      </c>
      <c r="P77" s="65" t="str">
        <f>IFERROR(__xludf.DUMMYFUNCTION("""COMPUTED_VALUE"""),"https://uz.linkedin.com/in/849060272")</f>
        <v>https://uz.linkedin.com/in/849060272</v>
      </c>
      <c r="Q77" s="61" t="str">
        <f>IFERROR(__xludf.DUMMYFUNCTION("""COMPUTED_VALUE"""),"@asliddin_sg")</f>
        <v>@asliddin_sg</v>
      </c>
      <c r="R77" s="61" t="str">
        <f>IFERROR(__xludf.DUMMYFUNCTION("""COMPUTED_VALUE"""),"Asliddin Norsamadov")</f>
        <v>Asliddin Norsamadov</v>
      </c>
      <c r="S77" s="61" t="str">
        <f>IFERROR(__xludf.DUMMYFUNCTION("""COMPUTED_VALUE"""),"photo_2024-08-07_20-01-32.jpg")</f>
        <v>photo_2024-08-07_20-01-32.jpg</v>
      </c>
      <c r="T77" s="61" t="str">
        <f>IFERROR(__xludf.DUMMYFUNCTION("""COMPUTED_VALUE"""),"photo_2024-05-11_16-29-07.jpg")</f>
        <v>photo_2024-05-11_16-29-07.jpg</v>
      </c>
      <c r="U77" s="61" t="str">
        <f>IFERROR(__xludf.DUMMYFUNCTION("""COMPUTED_VALUE"""),"Becholars")</f>
        <v>Becholars</v>
      </c>
      <c r="V77" s="61" t="str">
        <f>IFERROR(__xludf.DUMMYFUNCTION("""COMPUTED_VALUE"""),"Bachelor")</f>
        <v>Bachelor</v>
      </c>
      <c r="W77" s="61" t="str">
        <f>IFERROR(__xludf.DUMMYFUNCTION("""COMPUTED_VALUE"""),"Tourism Management")</f>
        <v>Tourism Management</v>
      </c>
      <c r="X77" s="61" t="str">
        <f>IFERROR(__xludf.DUMMYFUNCTION("""COMPUTED_VALUE"""),"Silk Road International University of Tourism and Cultural Heritage")</f>
        <v>Silk Road International University of Tourism and Cultural Heritage</v>
      </c>
      <c r="Y77" s="61" t="str">
        <f>IFERROR(__xludf.DUMMYFUNCTION("""COMPUTED_VALUE"""),"Yes")</f>
        <v>Yes</v>
      </c>
      <c r="Z77" s="61" t="str">
        <f>IFERROR(__xludf.DUMMYFUNCTION("""COMPUTED_VALUE"""),"Uzbekistan")</f>
        <v>Uzbekistan</v>
      </c>
      <c r="AA77" s="61" t="str">
        <f>IFERROR(__xludf.DUMMYFUNCTION("""COMPUTED_VALUE"""),"Yes")</f>
        <v>Yes</v>
      </c>
      <c r="AB77" s="61" t="str">
        <f>IFERROR(__xludf.DUMMYFUNCTION("""COMPUTED_VALUE"""),"Indonesia")</f>
        <v>Indonesia</v>
      </c>
      <c r="AC77" s="61" t="str">
        <f>IFERROR(__xludf.DUMMYFUNCTION("""COMPUTED_VALUE"""),"Yes")</f>
        <v>Yes</v>
      </c>
      <c r="AD77" s="61" t="str">
        <f>IFERROR(__xludf.DUMMYFUNCTION("""COMPUTED_VALUE"""),"UNWTO, EBRD")</f>
        <v>UNWTO, EBRD</v>
      </c>
      <c r="AE77" s="65" t="str">
        <f>IFERROR(__xludf.DUMMYFUNCTION("""COMPUTED_VALUE"""),"https://www.ebrd.com/home.html")</f>
        <v>https://www.ebrd.com/home.html</v>
      </c>
      <c r="AF77" s="61" t="str">
        <f>IFERROR(__xludf.DUMMYFUNCTION("""COMPUTED_VALUE"""),"Volunteer")</f>
        <v>Volunteer</v>
      </c>
      <c r="AG77" s="61" t="str">
        <f>IFERROR(__xludf.DUMMYFUNCTION("""COMPUTED_VALUE"""),"2023-2024")</f>
        <v>2023-2024</v>
      </c>
      <c r="AH77" s="61" t="str">
        <f>IFERROR(__xludf.DUMMYFUNCTION("""COMPUTED_VALUE"""),"No")</f>
        <v>No</v>
      </c>
      <c r="AI77" s="61"/>
      <c r="AJ77" s="61"/>
      <c r="AK77" s="61"/>
      <c r="AL77" s="61" t="str">
        <f>IFERROR(__xludf.DUMMYFUNCTION("""COMPUTED_VALUE"""),"Leader, Entrepreneur, Data-driven decision making")</f>
        <v>Leader, Entrepreneur, Data-driven decision making</v>
      </c>
      <c r="AM77" s="61" t="str">
        <f>IFERROR(__xludf.DUMMYFUNCTION("""COMPUTED_VALUE"""),"Asliddin CV.pdf")</f>
        <v>Asliddin CV.pdf</v>
      </c>
      <c r="AN77" s="61" t="str">
        <f>IFERROR(__xludf.DUMMYFUNCTION("""COMPUTED_VALUE"""),"Yes, I believe meaningful change starts with individual actions. As a final-year Tourism University student, I have actively participated in diplomacy and management conferences to improve my understanding of global cooperation and leadership. I also volu"&amp;"nteered with the UN World Tourism Organization (UNWTO), where I supported initiatives promoting sustainable tourism and international collaboration. These experiences taught me the importance of cultural exchange, teamwork, and responsible leadership. I a"&amp;"lso encourage my peers to engage in volunteer activities and discussions on global issues. I believe that by educating ourselves and serving our communities, we can contribute to a more peaceful and sustainable world.")</f>
        <v>Yes, I believe meaningful change starts with individual actions. As a final-year Tourism University student, I have actively participated in diplomacy and management conferences to improve my understanding of global cooperation and leadership. I also volunteered with the UN World Tourism Organization (UNWTO), where I supported initiatives promoting sustainable tourism and international collaboration. These experiences taught me the importance of cultural exchange, teamwork, and responsible leadership. I also encourage my peers to engage in volunteer activities and discussions on global issues. I believe that by educating ourselves and serving our communities, we can contribute to a more peaceful and sustainable world.</v>
      </c>
      <c r="AO77" s="61" t="str">
        <f>IFERROR(__xludf.DUMMYFUNCTION("""COMPUTED_VALUE"""),"I believe that Switzerland is one of the most diplomatically significant countries in the world. It is known for its neutrality, commitment to peace, and role as a host for many international organizations, including the United Nations and the World Healt"&amp;"h Organization. Switzerland provides a platform where countries with different interests can engage in dialogue and resolve conflicts peacefully. Its strong tradition of diplomacy demonstrates that trust, cooperation, and respect are essential for interna"&amp;"tional relations. I admire Switzerland’s approach because it emphasizes negotiation over conflict and promotes global stability and humanitarian values.")</f>
        <v>I believe that Switzerland is one of the most diplomatically significant countries in the world. It is known for its neutrality, commitment to peace, and role as a host for many international organizations, including the United Nations and the World Health Organization. Switzerland provides a platform where countries with different interests can engage in dialogue and resolve conflicts peacefully. Its strong tradition of diplomacy demonstrates that trust, cooperation, and respect are essential for international relations. I admire Switzerland’s approach because it emphasizes negotiation over conflict and promotes global stability and humanitarian values.</v>
      </c>
      <c r="AP77" s="61" t="str">
        <f>IFERROR(__xludf.DUMMYFUNCTION("""COMPUTED_VALUE"""),"Young people are essential to the future of diplomacy because they bring fresh ideas, innovation, and a willingness to collaborate across cultures. In today’s interconnected world, youth can promote understanding through education, technology, cultural ex"&amp;"change, and volunteer work. They also play an important role in addressing global challenges such as climate change, sustainable development, and peacebuilding.
I relate strongly to the concept of public diplomacy because it focuses on building relationsh"&amp;"ips between people, not only governments. As a Tourism University student, I have participated in diplomacy and management conferences where I interacted with people from different backgrounds and learned the value of dialogue and mutual respect. My volun"&amp;"teering experience with UNWTO strengthened my understanding of how tourism can connect cultures and encourage international cooperation.
I believe public diplomacy begins with listening, respecting different perspectives, and representing your country wit"&amp;"h integrity. In the future, I hope to use my education and experiences to promote cultural understanding, sustainable tourism, and stronger international partnerships. I am committed to being a responsible young leader who contributes positively to global"&amp;" cooperation.")</f>
        <v>Young people are essential to the future of diplomacy because they bring fresh ideas, innovation, and a willingness to collaborate across cultures. In today’s interconnected world, youth can promote understanding through education, technology, cultural exchange, and volunteer work. They also play an important role in addressing global challenges such as climate change, sustainable development, and peacebuilding.
I relate strongly to the concept of public diplomacy because it focuses on building relationships between people, not only governments. As a Tourism University student, I have participated in diplomacy and management conferences where I interacted with people from different backgrounds and learned the value of dialogue and mutual respect. My volunteering experience with UNWTO strengthened my understanding of how tourism can connect cultures and encourage international cooperation.
I believe public diplomacy begins with listening, respecting different perspectives, and representing your country with integrity. In the future, I hope to use my education and experiences to promote cultural understanding, sustainable tourism, and stronger international partnerships. I am committed to being a responsible young leader who contributes positively to global cooperation.</v>
      </c>
      <c r="AQ77" s="61" t="str">
        <f>IFERROR(__xludf.DUMMYFUNCTION("""COMPUTED_VALUE"""),"Passion is the inner motivation that inspires people to work hard, continue learning, and overcome challenges. For me, passion is my desire to build a career in tourism and international diplomacy. It encourages me to participate in conferences, volunteer"&amp;" with international organizations, and continuously improve my communication and leadership skills.
My passion has helped me remain focused throughout my academic journey. It motivated me to gain practical experience through UNWTO volunteering and to enga"&amp;"ge in diplomatic and management-related events beyond the classroom. These opportunities have strengthened my confidence and broadened my perspective on global issues. I believe that passion, combined with dedication and discipline, is the key to achievin"&amp;"g meaningful personal and professional goals.")</f>
        <v>Passion is the inner motivation that inspires people to work hard, continue learning, and overcome challenges. For me, passion is my desire to build a career in tourism and international diplomacy. It encourages me to participate in conferences, volunteer with international organizations, and continuously improve my communication and leadership skills.
My passion has helped me remain focused throughout my academic journey. It motivated me to gain practical experience through UNWTO volunteering and to engage in diplomatic and management-related events beyond the classroom. These opportunities have strengthened my confidence and broadened my perspective on global issues. I believe that passion, combined with dedication and discipline, is the key to achieving meaningful personal and professional goals.</v>
      </c>
      <c r="AR77" s="61" t="str">
        <f>IFERROR(__xludf.DUMMYFUNCTION("""COMPUTED_VALUE"""),"Yes, I consider myself a creative person because I enjoy finding new ways to connect with people and solve problems. Creativity is an important part of public diplomacy because it helps communicate ideas in ways that inspire understanding and cooperation."&amp;"
As a tourism student, I have learned that culture, heritage, and storytelling are powerful tools for building positive international relationships. Through my participation in diplomacy conferences and my volunteer experience with UNWTO, I realized that "&amp;"creative campaigns, cultural events, social media, and educational exchanges can strengthen a country’s image and encourage dialogue between different communities.
If given the opportunity, I would develop public diplomacy initiatives that highlight cultu"&amp;"ral diversity, sustainable tourism, and youth engagement. I would use digital platforms to share inspiring stories, organize intercultural events, and encourage collaboration between young people from different countries. By combining creativity with effe"&amp;"ctive communication and respect for different cultures, public diplomacy can build trust, reduce misunderstandings, and create long-lasting international partnerships.")</f>
        <v>Yes, I consider myself a creative person because I enjoy finding new ways to connect with people and solve problems. Creativity is an important part of public diplomacy because it helps communicate ideas in ways that inspire understanding and cooperation.
As a tourism student, I have learned that culture, heritage, and storytelling are powerful tools for building positive international relationships. Through my participation in diplomacy conferences and my volunteer experience with UNWTO, I realized that creative campaigns, cultural events, social media, and educational exchanges can strengthen a country’s image and encourage dialogue between different communities.
If given the opportunity, I would develop public diplomacy initiatives that highlight cultural diversity, sustainable tourism, and youth engagement. I would use digital platforms to share inspiring stories, organize intercultural events, and encourage collaboration between young people from different countries. By combining creativity with effective communication and respect for different cultures, public diplomacy can build trust, reduce misunderstandings, and create long-lasting international partnerships.</v>
      </c>
      <c r="AS77" s="61" t="str">
        <f>IFERROR(__xludf.DUMMYFUNCTION("""COMPUTED_VALUE"""),"Yes")</f>
        <v>Yes</v>
      </c>
      <c r="AT77" s="61" t="str">
        <f>IFERROR(__xludf.DUMMYFUNCTION("""COMPUTED_VALUE"""),"Yes")</f>
        <v>Yes</v>
      </c>
      <c r="AU77" s="61" t="str">
        <f>IFERROR(__xludf.DUMMYFUNCTION("""COMPUTED_VALUE"""),"Global Politics, Diplomacy &amp; Identities")</f>
        <v>Global Politics, Diplomacy &amp; Identities</v>
      </c>
      <c r="AV77" s="61" t="str">
        <f>IFERROR(__xludf.DUMMYFUNCTION("""COMPUTED_VALUE"""),"Google search and scholarship portal")</f>
        <v>Google search and scholarship portal</v>
      </c>
      <c r="AW77" s="61" t="str">
        <f>IFERROR(__xludf.DUMMYFUNCTION("""COMPUTED_VALUE"""),"Public Diplomacy in the 21st Century, because it focuses on international communication, cultural exchange, and building stronger relationships between nations.")</f>
        <v>Public Diplomacy in the 21st Century, because it focuses on international communication, cultural exchange, and building stronger relationships between nations.</v>
      </c>
      <c r="AX77" s="66" t="str">
        <f>IFERROR(__xludf.DUMMYFUNCTION("""COMPUTED_VALUE"""),"Yes")</f>
        <v>Yes</v>
      </c>
      <c r="AY77" s="66">
        <f>IFERROR(__xludf.DUMMYFUNCTION("""COMPUTED_VALUE"""),15.99)</f>
        <v>15.99</v>
      </c>
      <c r="AZ77" s="61"/>
      <c r="BA77" s="61"/>
      <c r="BB77" s="61"/>
      <c r="BC77" s="61"/>
      <c r="BD77" s="61"/>
      <c r="BE77" s="61"/>
      <c r="BF77" s="61"/>
      <c r="BG77" s="61"/>
      <c r="BH77" s="61"/>
      <c r="BI77" s="61"/>
      <c r="BJ77" s="61"/>
      <c r="BK77" s="61"/>
      <c r="BL77" s="61"/>
      <c r="BM77" s="61"/>
      <c r="BN77" s="61"/>
      <c r="BO77" s="61"/>
      <c r="BP77" s="61"/>
      <c r="BQ77" s="61"/>
      <c r="BR77" s="61"/>
    </row>
    <row r="78" ht="15.75" customHeight="1">
      <c r="A78" s="61" t="str">
        <f>IFERROR(__xludf.DUMMYFUNCTION("""COMPUTED_VALUE"""),"")</f>
        <v/>
      </c>
      <c r="B78" s="62">
        <f>IFERROR(__xludf.DUMMYFUNCTION("""COMPUTED_VALUE"""),95.0)</f>
        <v>95</v>
      </c>
      <c r="C78" s="61" t="str">
        <f>IFERROR(__xludf.DUMMYFUNCTION("""COMPUTED_VALUE"""),"Self")</f>
        <v>Self</v>
      </c>
      <c r="D78" s="63" t="str">
        <f>IFERROR(__xludf.DUMMYFUNCTION("""COMPUTED_VALUE"""),"Submitted")</f>
        <v>Submitted</v>
      </c>
      <c r="E78" s="63">
        <f>IFERROR(__xludf.DUMMYFUNCTION("""COMPUTED_VALUE"""),46204.73125)</f>
        <v>46204.73125</v>
      </c>
      <c r="F78" s="61" t="str">
        <f>IFERROR(__xludf.DUMMYFUNCTION("""COMPUTED_VALUE"""),"Salohiddin Sirojiddinov")</f>
        <v>Salohiddin Sirojiddinov</v>
      </c>
      <c r="G78" s="61" t="str">
        <f>IFERROR(__xludf.DUMMYFUNCTION("""COMPUTED_VALUE"""),"SIROJIDDINOV SALOHIDDIN ULUGBEK UGLI")</f>
        <v>SIROJIDDINOV SALOHIDDIN ULUGBEK UGLI</v>
      </c>
      <c r="H78" s="61" t="str">
        <f>IFERROR(__xludf.DUMMYFUNCTION("""COMPUTED_VALUE"""),"s.salohiddin0726@gmail.com")</f>
        <v>s.salohiddin0726@gmail.com</v>
      </c>
      <c r="I78" s="61" t="str">
        <f>IFERROR(__xludf.DUMMYFUNCTION("""COMPUTED_VALUE"""),"ulugbek074@gmail.con")</f>
        <v>ulugbek074@gmail.con</v>
      </c>
      <c r="J78" s="61" t="str">
        <f>IFERROR(__xludf.DUMMYFUNCTION("""COMPUTED_VALUE"""),"Andijan region, Andijan, Uzbekistan")</f>
        <v>Andijan region, Andijan, Uzbekistan</v>
      </c>
      <c r="K78" s="61" t="str">
        <f>IFERROR(__xludf.DUMMYFUNCTION("""COMPUTED_VALUE"""),"Uzbek")</f>
        <v>Uzbek</v>
      </c>
      <c r="L78" s="64" t="str">
        <f>IFERROR(__xludf.DUMMYFUNCTION("""COMPUTED_VALUE"""),"+998979970749")</f>
        <v>+998979970749</v>
      </c>
      <c r="M78" s="64">
        <f>IFERROR(__xludf.DUMMYFUNCTION("""COMPUTED_VALUE"""),40750.0)</f>
        <v>40750</v>
      </c>
      <c r="N78" s="61" t="str">
        <f>IFERROR(__xludf.DUMMYFUNCTION("""COMPUTED_VALUE"""),"FA7649567")</f>
        <v>FA7649567</v>
      </c>
      <c r="O78" s="61" t="str">
        <f>IFERROR(__xludf.DUMMYFUNCTION("""COMPUTED_VALUE"""),"+998979970747")</f>
        <v>+998979970747</v>
      </c>
      <c r="P78" s="61"/>
      <c r="Q78" s="61"/>
      <c r="R78" s="61"/>
      <c r="S78" s="61" t="str">
        <f>IFERROR(__xludf.DUMMYFUNCTION("""COMPUTED_VALUE"""),"Salohiddin.png")</f>
        <v>Salohiddin.png</v>
      </c>
      <c r="T78" s="61" t="str">
        <f>IFERROR(__xludf.DUMMYFUNCTION("""COMPUTED_VALUE"""),"salohiddin_photo.jpg")</f>
        <v>salohiddin_photo.jpg</v>
      </c>
      <c r="U78" s="61" t="str">
        <f>IFERROR(__xludf.DUMMYFUNCTION("""COMPUTED_VALUE"""),"Secondary School")</f>
        <v>Secondary School</v>
      </c>
      <c r="V78" s="61" t="str">
        <f>IFERROR(__xludf.DUMMYFUNCTION("""COMPUTED_VALUE"""),"High School Diploma")</f>
        <v>High School Diploma</v>
      </c>
      <c r="W78" s="61" t="str">
        <f>IFERROR(__xludf.DUMMYFUNCTION("""COMPUTED_VALUE"""),"General Education")</f>
        <v>General Education</v>
      </c>
      <c r="X78" s="61" t="str">
        <f>IFERROR(__xludf.DUMMYFUNCTION("""COMPUTED_VALUE"""),"English Life School")</f>
        <v>English Life School</v>
      </c>
      <c r="Y78" s="61" t="str">
        <f>IFERROR(__xludf.DUMMYFUNCTION("""COMPUTED_VALUE"""),"Yes")</f>
        <v>Yes</v>
      </c>
      <c r="Z78" s="61" t="str">
        <f>IFERROR(__xludf.DUMMYFUNCTION("""COMPUTED_VALUE"""),"Uzbekistan")</f>
        <v>Uzbekistan</v>
      </c>
      <c r="AA78" s="61" t="str">
        <f>IFERROR(__xludf.DUMMYFUNCTION("""COMPUTED_VALUE"""),"No")</f>
        <v>No</v>
      </c>
      <c r="AB78" s="61"/>
      <c r="AC78" s="61"/>
      <c r="AD78" s="61" t="str">
        <f>IFERROR(__xludf.DUMMYFUNCTION("""COMPUTED_VALUE"""),"HIPPO English Without Borders — National Finals Participant")</f>
        <v>HIPPO English Without Borders — National Finals Participant</v>
      </c>
      <c r="AE78" s="65" t="str">
        <f>IFERROR(__xludf.DUMMYFUNCTION("""COMPUTED_VALUE"""),"https://hippo-thecontest.org")</f>
        <v>https://hippo-thecontest.org</v>
      </c>
      <c r="AF78" s="61" t="str">
        <f>IFERROR(__xludf.DUMMYFUNCTION("""COMPUTED_VALUE"""),"National Finalist &amp; Academic Representative")</f>
        <v>National Finalist &amp; Academic Representative</v>
      </c>
      <c r="AG78" s="61" t="str">
        <f>IFERROR(__xludf.DUMMYFUNCTION("""COMPUTED_VALUE"""),"3")</f>
        <v>3</v>
      </c>
      <c r="AH78" s="61" t="str">
        <f>IFERROR(__xludf.DUMMYFUNCTION("""COMPUTED_VALUE"""),"No")</f>
        <v>No</v>
      </c>
      <c r="AI78" s="61"/>
      <c r="AJ78" s="61"/>
      <c r="AK78" s="61"/>
      <c r="AL78" s="61" t="str">
        <f>IFERROR(__xludf.DUMMYFUNCTION("""COMPUTED_VALUE"""),"English Language (B2 CEFR), Public Speaking, Critical Thinking, Leadership, Robotics &amp; Engineering, Teamwork, Problem Solving, Academic Research")</f>
        <v>English Language (B2 CEFR), Public Speaking, Critical Thinking, Leadership, Robotics &amp; Engineering, Teamwork, Problem Solving, Academic Research</v>
      </c>
      <c r="AM78" s="61" t="str">
        <f>IFERROR(__xludf.DUMMYFUNCTION("""COMPUTED_VALUE"""),"Salohiddin_CV.pdf")</f>
        <v>Salohiddin_CV.pdf</v>
      </c>
      <c r="AN78" s="61" t="str">
        <f>IFERROR(__xludf.DUMMYFUNCTION("""COMPUTED_VALUE"""),"Yes, I have always believed that change begins with education and communication. As a young student from Uzbekistan, I witnessed how limited access to quality English education restricts opportunities for many young people. This inspired me to work harder"&amp;", compete in international contests like HIPPO English Without Borders, and reach the National Finals twice. I want to become a bridge between my community and the world — sharing knowledge, inspiring peers, and proving that geography is not a barrier to "&amp;"greatness. Change starts with one determined individual, and I am committed to being that person in my community.")</f>
        <v>Yes, I have always believed that change begins with education and communication. As a young student from Uzbekistan, I witnessed how limited access to quality English education restricts opportunities for many young people. This inspired me to work harder, compete in international contests like HIPPO English Without Borders, and reach the National Finals twice. I want to become a bridge between my community and the world — sharing knowledge, inspiring peers, and proving that geography is not a barrier to greatness. Change starts with one determined individual, and I am committed to being that person in my community.</v>
      </c>
      <c r="AO78" s="61" t="str">
        <f>IFERROR(__xludf.DUMMYFUNCTION("""COMPUTED_VALUE"""),"I believe Uzbekistan is one of the most diplomatically significant countries in the world today. Located at the heart of Central Asia, Uzbekistan serves as a critical bridge between East and West, connecting major trade routes and civilizations. Under its"&amp;" current leadership, Uzbekistan has adopted an open-door foreign policy, actively engaging with the United Nations, SCO, and neighboring countries to promote peace and regional stability. Its rich cultural heritage, strategic location, and growing economy"&amp;" make it an increasingly important player in global diplomacy. I am proud to represent this nation on international platforms like YPDS Jakarta 2026.")</f>
        <v>I believe Uzbekistan is one of the most diplomatically significant countries in the world today. Located at the heart of Central Asia, Uzbekistan serves as a critical bridge between East and West, connecting major trade routes and civilizations. Under its current leadership, Uzbekistan has adopted an open-door foreign policy, actively engaging with the United Nations, SCO, and neighboring countries to promote peace and regional stability. Its rich cultural heritage, strategic location, and growing economy make it an increasingly important player in global diplomacy. I am proud to represent this nation on international platforms like YPDS Jakarta 2026.</v>
      </c>
      <c r="AP78" s="61" t="str">
        <f>IFERROR(__xludf.DUMMYFUNCTION("""COMPUTED_VALUE"""),"Youth are not just the future of diplomacy — they are an essential part of its present. In today's rapidly changing world, young people bring fresh perspectives, innovative thinking, and digital fluency that traditional diplomacy often lacks. We are the g"&amp;"eneration that grew up in a globalized world, naturally understanding cultural diversity and international interconnectedness.
Public diplomacy, in particular, relies heavily on youth engagement. When young people share their culture, values, and storie"&amp;"s across borders — through exchange programs, international competitions, and social media — they build bridges of understanding that formal diplomacy alone cannot achieve. I personally relate to this idea deeply. By participating in international English"&amp;" competitions and robotics festivals, I have already begun practicing a form of public diplomacy — representing Uzbekistan, showcasing my culture, and connecting with peers from different backgrounds.
YPDS Jakarta 2026 is exactly the kind of platform wh"&amp;"ere youth diplomacy comes alive. I believe that by bringing young leaders together, we can create lasting networks of mutual respect and cooperation that will shape a more peaceful and collaborative world for generations to come.")</f>
        <v>Youth are not just the future of diplomacy — they are an essential part of its present. In today's rapidly changing world, young people bring fresh perspectives, innovative thinking, and digital fluency that traditional diplomacy often lacks. We are the generation that grew up in a globalized world, naturally understanding cultural diversity and international interconnectedness.
Public diplomacy, in particular, relies heavily on youth engagement. When young people share their culture, values, and stories across borders — through exchange programs, international competitions, and social media — they build bridges of understanding that formal diplomacy alone cannot achieve. I personally relate to this idea deeply. By participating in international English competitions and robotics festivals, I have already begun practicing a form of public diplomacy — representing Uzbekistan, showcasing my culture, and connecting with peers from different backgrounds.
YPDS Jakarta 2026 is exactly the kind of platform where youth diplomacy comes alive. I believe that by bringing young leaders together, we can create lasting networks of mutual respect and cooperation that will shape a more peaceful and collaborative world for generations to come.</v>
      </c>
      <c r="AQ78" s="61" t="str">
        <f>IFERROR(__xludf.DUMMYFUNCTION("""COMPUTED_VALUE"""),"Passion, to me, is the inner fire that keeps you moving forward even when obstacles seem insurmountable. It is not just enthusiasm — it is a deep, unwavering commitment to something greater than yourself. My passion lies in education, language, and connec"&amp;"ting people across cultures.
This passion has driven me to compete in the HIPPO English Without Borders contest — not once, but twice reaching the National Finals. It pushed me to achieve a B2 level in English through consistent effort and dedication. I"&amp;"t motivated me to explore robotics and technology at the ROBOT.UZ-2025 international festival.
Passion is what transforms an ordinary student into a determined achiever. For me, it is the driving force behind every certificate earned, every competition "&amp;"entered, and every goal set. I am passionate about becoming a global citizen who contributes meaningfully to his community and the world.")</f>
        <v>Passion, to me, is the inner fire that keeps you moving forward even when obstacles seem insurmountable. It is not just enthusiasm — it is a deep, unwavering commitment to something greater than yourself. My passion lies in education, language, and connecting people across cultures.
This passion has driven me to compete in the HIPPO English Without Borders contest — not once, but twice reaching the National Finals. It pushed me to achieve a B2 level in English through consistent effort and dedication. It motivated me to explore robotics and technology at the ROBOT.UZ-2025 international festival.
Passion is what transforms an ordinary student into a determined achiever. For me, it is the driving force behind every certificate earned, every competition entered, and every goal set. I am passionate about becoming a global citizen who contributes meaningfully to his community and the world.</v>
      </c>
      <c r="AR78" s="61" t="str">
        <f>IFERROR(__xludf.DUMMYFUNCTION("""COMPUTED_VALUE"""),"Creativity, in my view, is the ability to see possibilities where others see limitations. Yes, I consider myself a creative person — not in the traditional artistic sense, but in the way I approach problems, learning, and communication.
Competing in the"&amp;" HIPPO English Without Borders contest required more than memorization — it demanded creative thinking, quick adaptability, and the ability to express complex ideas in a foreign language under pressure. Participating in the ROBOT.UZ-2025 robotics festival"&amp;" pushed me to design innovative solutions using engineering principles, teamwork, and imaginative problem-solving.
In terms of public diplomacy, creativity is perhaps the most powerful tool available. A creative diplomat does not just negotiate — they s"&amp;"torytell, inspire, and connect. I would channel my creativity into public diplomacy by organizing cultural exchange events, creating multilingual content that showcases Uzbekistan's rich heritage, and using digital platforms to amplify youth voices from C"&amp;"entral Asia on the global stage.
I believe that creative diplomacy — combining art, technology, language, and human connection — is the future of international relations, and I am eager to contribute my creative energy to this vision at YPDS Jakarta 202"&amp;"6.")</f>
        <v>Creativity, in my view, is the ability to see possibilities where others see limitations. Yes, I consider myself a creative person — not in the traditional artistic sense, but in the way I approach problems, learning, and communication.
Competing in the HIPPO English Without Borders contest required more than memorization — it demanded creative thinking, quick adaptability, and the ability to express complex ideas in a foreign language under pressure. Participating in the ROBOT.UZ-2025 robotics festival pushed me to design innovative solutions using engineering principles, teamwork, and imaginative problem-solving.
In terms of public diplomacy, creativity is perhaps the most powerful tool available. A creative diplomat does not just negotiate — they storytell, inspire, and connect. I would channel my creativity into public diplomacy by organizing cultural exchange events, creating multilingual content that showcases Uzbekistan's rich heritage, and using digital platforms to amplify youth voices from Central Asia on the global stage.
I believe that creative diplomacy — combining art, technology, language, and human connection — is the future of international relations, and I am eager to contribute my creative energy to this vision at YPDS Jakarta 2026.</v>
      </c>
      <c r="AS78" s="61" t="str">
        <f>IFERROR(__xludf.DUMMYFUNCTION("""COMPUTED_VALUE"""),"No")</f>
        <v>No</v>
      </c>
      <c r="AT78" s="61" t="str">
        <f>IFERROR(__xludf.DUMMYFUNCTION("""COMPUTED_VALUE"""),"No")</f>
        <v>No</v>
      </c>
      <c r="AU78" s="61" t="str">
        <f>IFERROR(__xludf.DUMMYFUNCTION("""COMPUTED_VALUE"""),"Global Politics, Diplomacy &amp; Identities")</f>
        <v>Global Politics, Diplomacy &amp; Identities</v>
      </c>
      <c r="AV78" s="61" t="str">
        <f>IFERROR(__xludf.DUMMYFUNCTION("""COMPUTED_VALUE"""),"Friend referred")</f>
        <v>Friend referred</v>
      </c>
      <c r="AW78" s="61" t="str">
        <f>IFERROR(__xludf.DUMMYFUNCTION("""COMPUTED_VALUE"""),"Public Diplomacy in the 21st Century")</f>
        <v>Public Diplomacy in the 21st Century</v>
      </c>
      <c r="AX78" s="66" t="str">
        <f>IFERROR(__xludf.DUMMYFUNCTION("""COMPUTED_VALUE"""),"Yes")</f>
        <v>Yes</v>
      </c>
      <c r="AY78" s="66">
        <f>IFERROR(__xludf.DUMMYFUNCTION("""COMPUTED_VALUE"""),15.99)</f>
        <v>15.99</v>
      </c>
      <c r="AZ78" s="61"/>
      <c r="BA78" s="61"/>
      <c r="BB78" s="61"/>
      <c r="BC78" s="61"/>
      <c r="BD78" s="61"/>
      <c r="BE78" s="61"/>
      <c r="BF78" s="61"/>
      <c r="BG78" s="61"/>
      <c r="BH78" s="61"/>
      <c r="BI78" s="61"/>
      <c r="BJ78" s="61"/>
      <c r="BK78" s="61"/>
      <c r="BL78" s="61"/>
      <c r="BM78" s="61"/>
      <c r="BN78" s="61"/>
      <c r="BO78" s="61"/>
      <c r="BP78" s="61"/>
      <c r="BQ78" s="61"/>
      <c r="BR78" s="61"/>
    </row>
    <row r="79" ht="15.75" customHeight="1">
      <c r="A79" s="61" t="str">
        <f>IFERROR(__xludf.DUMMYFUNCTION("""COMPUTED_VALUE"""),"")</f>
        <v/>
      </c>
      <c r="B79" s="62">
        <f>IFERROR(__xludf.DUMMYFUNCTION("""COMPUTED_VALUE"""),96.0)</f>
        <v>96</v>
      </c>
      <c r="C79" s="61" t="str">
        <f>IFERROR(__xludf.DUMMYFUNCTION("""COMPUTED_VALUE"""),"Self")</f>
        <v>Self</v>
      </c>
      <c r="D79" s="63" t="str">
        <f>IFERROR(__xludf.DUMMYFUNCTION("""COMPUTED_VALUE"""),"Submitted")</f>
        <v>Submitted</v>
      </c>
      <c r="E79" s="63">
        <f>IFERROR(__xludf.DUMMYFUNCTION("""COMPUTED_VALUE"""),46205.04305555556)</f>
        <v>46205.04306</v>
      </c>
      <c r="F79" s="61" t="str">
        <f>IFERROR(__xludf.DUMMYFUNCTION("""COMPUTED_VALUE"""),"Ana Carla Zarbá")</f>
        <v>Ana Carla Zarbá</v>
      </c>
      <c r="G79" s="61" t="str">
        <f>IFERROR(__xludf.DUMMYFUNCTION("""COMPUTED_VALUE"""),"Ana Carla Zarbá")</f>
        <v>Ana Carla Zarbá</v>
      </c>
      <c r="H79" s="61" t="str">
        <f>IFERROR(__xludf.DUMMYFUNCTION("""COMPUTED_VALUE"""),"carlazarba96@gmail.com")</f>
        <v>carlazarba96@gmail.com</v>
      </c>
      <c r="I79" s="61" t="str">
        <f>IFERROR(__xludf.DUMMYFUNCTION("""COMPUTED_VALUE"""),"carlaz.traveller@gmail.com")</f>
        <v>carlaz.traveller@gmail.com</v>
      </c>
      <c r="J79" s="61" t="str">
        <f>IFERROR(__xludf.DUMMYFUNCTION("""COMPUTED_VALUE"""),"25 De Mayo 746, 1C, San José de Metán, Argentina")</f>
        <v>25 De Mayo 746, 1C, San José de Metán, Argentina</v>
      </c>
      <c r="K79" s="61" t="str">
        <f>IFERROR(__xludf.DUMMYFUNCTION("""COMPUTED_VALUE"""),"Argentinian")</f>
        <v>Argentinian</v>
      </c>
      <c r="L79" s="64" t="str">
        <f>IFERROR(__xludf.DUMMYFUNCTION("""COMPUTED_VALUE"""),"+5493876472971")</f>
        <v>+5493876472971</v>
      </c>
      <c r="M79" s="64">
        <f>IFERROR(__xludf.DUMMYFUNCTION("""COMPUTED_VALUE"""),35400.0)</f>
        <v>35400</v>
      </c>
      <c r="N79" s="61" t="str">
        <f>IFERROR(__xludf.DUMMYFUNCTION("""COMPUTED_VALUE"""),"AAF646423")</f>
        <v>AAF646423</v>
      </c>
      <c r="O79" s="61" t="str">
        <f>IFERROR(__xludf.DUMMYFUNCTION("""COMPUTED_VALUE"""),"+5493876452349")</f>
        <v>+5493876452349</v>
      </c>
      <c r="P79" s="65" t="str">
        <f>IFERROR(__xludf.DUMMYFUNCTION("""COMPUTED_VALUE"""),"https://www.linkedin.com/in/carla-zarba/")</f>
        <v>https://www.linkedin.com/in/carla-zarba/</v>
      </c>
      <c r="Q79" s="65" t="str">
        <f>IFERROR(__xludf.DUMMYFUNCTION("""COMPUTED_VALUE"""),"https://www.instagram.com/carlazarba/")</f>
        <v>https://www.instagram.com/carlazarba/</v>
      </c>
      <c r="R79" s="61"/>
      <c r="S79" s="61" t="str">
        <f>IFERROR(__xludf.DUMMYFUNCTION("""COMPUTED_VALUE"""),"Ana Carla Zarba - Passport.pdf")</f>
        <v>Ana Carla Zarba - Passport.pdf</v>
      </c>
      <c r="T79" s="61" t="str">
        <f>IFERROR(__xludf.DUMMYFUNCTION("""COMPUTED_VALUE"""),"Zarbá foto 4x4.png")</f>
        <v>Zarbá foto 4x4.png</v>
      </c>
      <c r="U79" s="61" t="str">
        <f>IFERROR(__xludf.DUMMYFUNCTION("""COMPUTED_VALUE"""),"Bachelors / Bachelors / Technicians")</f>
        <v>Bachelors / Bachelors / Technicians</v>
      </c>
      <c r="V79" s="61" t="str">
        <f>IFERROR(__xludf.DUMMYFUNCTION("""COMPUTED_VALUE"""),"International Relations / Sociology / Audiovisual Media")</f>
        <v>International Relations / Sociology / Audiovisual Media</v>
      </c>
      <c r="W79" s="61" t="str">
        <f>IFERROR(__xludf.DUMMYFUNCTION("""COMPUTED_VALUE"""),"Film Production")</f>
        <v>Film Production</v>
      </c>
      <c r="X79" s="61" t="str">
        <f>IFERROR(__xludf.DUMMYFUNCTION("""COMPUTED_VALUE"""),"Universidad Empresarial Siglo 21 / Universidad Empresarial Siglo 21 / Universidad Nacional de Tucumán")</f>
        <v>Universidad Empresarial Siglo 21 / Universidad Empresarial Siglo 21 / Universidad Nacional de Tucumán</v>
      </c>
      <c r="Y79" s="61" t="str">
        <f>IFERROR(__xludf.DUMMYFUNCTION("""COMPUTED_VALUE"""),"Yes")</f>
        <v>Yes</v>
      </c>
      <c r="Z79" s="61" t="str">
        <f>IFERROR(__xludf.DUMMYFUNCTION("""COMPUTED_VALUE"""),"Argentina")</f>
        <v>Argentina</v>
      </c>
      <c r="AA79" s="61" t="str">
        <f>IFERROR(__xludf.DUMMYFUNCTION("""COMPUTED_VALUE"""),"No")</f>
        <v>No</v>
      </c>
      <c r="AB79" s="61"/>
      <c r="AC79" s="61" t="str">
        <f>IFERROR(__xludf.DUMMYFUNCTION("""COMPUTED_VALUE"""),"Yes. I have written two thesis")</f>
        <v>Yes. I have written two thesis</v>
      </c>
      <c r="AD79" s="61" t="str">
        <f>IFERROR(__xludf.DUMMYFUNCTION("""COMPUTED_VALUE"""),"Film Student Council / Jóvenes Feministas de Metán / OAJNU / Global Shapers Tucumán / Vital Voices / AFS Intercultural Programs")</f>
        <v>Film Student Council / Jóvenes Feministas de Metán / OAJNU / Global Shapers Tucumán / Vital Voices / AFS Intercultural Programs</v>
      </c>
      <c r="AE79" s="65" t="str">
        <f>IFERROR(__xludf.DUMMYFUNCTION("""COMPUTED_VALUE"""),"https://www.globalshapers.org/")</f>
        <v>https://www.globalshapers.org/</v>
      </c>
      <c r="AF79" s="61" t="str">
        <f>IFERROR(__xludf.DUMMYFUNCTION("""COMPUTED_VALUE"""),"Founder and President / Founder and President / Secretary, Coordinatress and Assembly member / Vice Curatress and Leader of Communications / Mentee, Mentor, member of the Communicatiosn Team and Matching Team / Counselor")</f>
        <v>Founder and President / Founder and President / Secretary, Coordinatress and Assembly member / Vice Curatress and Leader of Communications / Mentee, Mentor, member of the Communicatiosn Team and Matching Team / Counselor</v>
      </c>
      <c r="AG79" s="61" t="str">
        <f>IFERROR(__xludf.DUMMYFUNCTION("""COMPUTED_VALUE"""),"10")</f>
        <v>10</v>
      </c>
      <c r="AH79" s="61" t="str">
        <f>IFERROR(__xludf.DUMMYFUNCTION("""COMPUTED_VALUE"""),"No")</f>
        <v>No</v>
      </c>
      <c r="AI79" s="61" t="str">
        <f>IFERROR(__xludf.DUMMYFUNCTION("""COMPUTED_VALUE"""),"Frelance consulting for cultural projects and internacional applications")</f>
        <v>Frelance consulting for cultural projects and internacional applications</v>
      </c>
      <c r="AJ79" s="61" t="str">
        <f>IFERROR(__xludf.DUMMYFUNCTION("""COMPUTED_VALUE"""),"Yes. Jóvenes Feministas de Metán and Film Student Council")</f>
        <v>Yes. Jóvenes Feministas de Metán and Film Student Council</v>
      </c>
      <c r="AK79" s="61" t="str">
        <f>IFERROR(__xludf.DUMMYFUNCTION("""COMPUTED_VALUE"""),"Jóvenes Feministas de Metán: To provide education and mobilization for women's rights.
Film Student Council: To foster active student participation in university politics.")</f>
        <v>Jóvenes Feministas de Metán: To provide education and mobilization for women's rights.
Film Student Council: To foster active student participation in university politics.</v>
      </c>
      <c r="AL79" s="61" t="str">
        <f>IFERROR(__xludf.DUMMYFUNCTION("""COMPUTED_VALUE"""),"Content creation, leadership, project managing, communication")</f>
        <v>Content creation, leadership, project managing, communication</v>
      </c>
      <c r="AM79" s="61" t="str">
        <f>IFERROR(__xludf.DUMMYFUNCTION("""COMPUTED_VALUE"""),"CV Carla Zarbá English.pdf, Zarbá - Vertical Portfolio.pdf")</f>
        <v>CV Carla Zarbá English.pdf, Zarbá - Vertical Portfolio.pdf</v>
      </c>
      <c r="AN79" s="61" t="str">
        <f>IFERROR(__xludf.DUMMYFUNCTION("""COMPUTED_VALUE"""),"Yes. I have always tried to contribute to changing the world, one project at a time. For instance, I organized the first Pride Parade in my town, founded its first feminist organization, and produced the only Inclusive Fashion Show, featuring models from "&amp;"diverse minority groups — including LGBTIQ+ people, persons with disabilities, and older adults. This actions, not only change how people from the town understands inclusion, but also empowers the minorities to ask for an opportunity, to speak up and to c"&amp;"liam for a chair in the table where decisions are being made.")</f>
        <v>Yes. I have always tried to contribute to changing the world, one project at a time. For instance, I organized the first Pride Parade in my town, founded its first feminist organization, and produced the only Inclusive Fashion Show, featuring models from diverse minority groups — including LGBTIQ+ people, persons with disabilities, and older adults. This actions, not only change how people from the town understands inclusion, but also empowers the minorities to ask for an opportunity, to speak up and to cliam for a chair in the table where decisions are being made.</v>
      </c>
      <c r="AO79" s="61" t="str">
        <f>IFERROR(__xludf.DUMMYFUNCTION("""COMPUTED_VALUE"""),"The United States remains the most diplomatically significant actor in the international system, largely due to its economic capacity, military reach, and historical influence within multilateral institutions. However, its foreign policy often reflects a "&amp;"realist approach that prioritizes national interests over collective security or global equity. This imbalance has generated asymmetries in global governance, particularly within the United Nations Security Council. A reform that limits or abolishes the v"&amp;"eto power of permanent members could foster a more democratic and representative framework for international decision-making.")</f>
        <v>The United States remains the most diplomatically significant actor in the international system, largely due to its economic capacity, military reach, and historical influence within multilateral institutions. However, its foreign policy often reflects a realist approach that prioritizes national interests over collective security or global equity. This imbalance has generated asymmetries in global governance, particularly within the United Nations Security Council. A reform that limits or abolishes the veto power of permanent members could foster a more democratic and representative framework for international decision-making.</v>
      </c>
      <c r="AP79" s="61" t="str">
        <f>IFERROR(__xludf.DUMMYFUNCTION("""COMPUTED_VALUE"""),"Youth play a crucial role in shaping the future of diplomacy by bringing fresh perspectives, innovative solutions, and a strong commitment to social justice and sustainability. Our generation has grown up in a globalized, interconnected world, which allow"&amp;"s us to understand that diplomacy today extends beyond state actors — it involves citizens, communities, and transnational movements.
I believe that young people should not only raise their voices to influence decision-makers but also occupy seats at the "&amp;"tables where those decisions are made. We are the generation that will live the longest with the consequences of today’s choices; therefore, our participation is not just desirable but necessary for long-term, inclusive policymaking.
Public Diplomacy, in "&amp;"this sense, represents a powerful tool for youth engagement. By using cultural exchange, communication, and social media, young leaders can build bridges between societies, promote understanding, and challenge stereotypes. Personally, I relate to this con"&amp;"cept through my work in community projects that promote inclusion, gender equality, and human rights. These initiatives demonstrate that diplomacy can—and should—start from the grassroots level, empowering citizens to become active agents of change in the"&amp;" international arena.")</f>
        <v>Youth play a crucial role in shaping the future of diplomacy by bringing fresh perspectives, innovative solutions, and a strong commitment to social justice and sustainability. Our generation has grown up in a globalized, interconnected world, which allows us to understand that diplomacy today extends beyond state actors — it involves citizens, communities, and transnational movements.
I believe that young people should not only raise their voices to influence decision-makers but also occupy seats at the tables where those decisions are made. We are the generation that will live the longest with the consequences of today’s choices; therefore, our participation is not just desirable but necessary for long-term, inclusive policymaking.
Public Diplomacy, in this sense, represents a powerful tool for youth engagement. By using cultural exchange, communication, and social media, young leaders can build bridges between societies, promote understanding, and challenge stereotypes. Personally, I relate to this concept through my work in community projects that promote inclusion, gender equality, and human rights. These initiatives demonstrate that diplomacy can—and should—start from the grassroots level, empowering citizens to become active agents of change in the international arena.</v>
      </c>
      <c r="AQ79" s="61" t="str">
        <f>IFERROR(__xludf.DUMMYFUNCTION("""COMPUTED_VALUE"""),"Passion is the inner force that drives us toward purpose. When we align our actions with what truly inspires us, we not only find personal fulfillment but also motivate others around us. Passion has the power to connect people with similar dreams, creatin"&amp;"g networks of collaboration that amplify impact. I believe that collective creation is always stronger than individual effort.
This idea resonates deeply with the Japanese concept of Ikigai—the intersection between what we love, what we are good at, what "&amp;"the world needs, and what we can be rewarded for. Finding our Ikigai allows us to transform passion into sustainable action, turning our purpose into a daily practice rather than a distant dream. For me, passion becomes meaningful only when it contributes"&amp;" to something greater than myself, helping to build communities, inspire change, and move the world toward empathy and balance.")</f>
        <v>Passion is the inner force that drives us toward purpose. When we align our actions with what truly inspires us, we not only find personal fulfillment but also motivate others around us. Passion has the power to connect people with similar dreams, creating networks of collaboration that amplify impact. I believe that collective creation is always stronger than individual effort.
This idea resonates deeply with the Japanese concept of Ikigai—the intersection between what we love, what we are good at, what the world needs, and what we can be rewarded for. Finding our Ikigai allows us to transform passion into sustainable action, turning our purpose into a daily practice rather than a distant dream. For me, passion becomes meaningful only when it contributes to something greater than myself, helping to build communities, inspire change, and move the world toward empathy and balance.</v>
      </c>
      <c r="AR79" s="61" t="str">
        <f>IFERROR(__xludf.DUMMYFUNCTION("""COMPUTED_VALUE"""),"Yes, I consider myself a creative person, not only in the artistic sense but also in how I approach social and cultural challenges. Creativity, to me, is about envisioning new ways to connect people, foster empathy, and build understanding among communiti"&amp;"es.
But creativity requires deliberate cultivation; it demands both active work and continuous nurturing. I study to expand my perspective and travel to experience realities beyond my imagination, stepping out of my comfort zone and listening to my surro"&amp;"undings. This program is ideal to nurture my creativity.
If selected, I would like to clarify that I only require sponsorship for my outbound flight to Jakarta. I will personally cover all return travel expenses, as I plan to extend my stay in Indonesia "&amp;"for a few weeks in order to immerse myself deeper into the culture.
I will transform this experience into an effective public diplomacy strategy by serving as a digital and cultural bridge between Southeast Asia and Latin America, primarily through my You"&amp;"Tube Channel. I will also launch cross-regional digital collaborative workshops upon my return. By translating global insights from Jakarta into local inclusion projects, I will ensure this fosters enduring youth cooperation and drives tangible social imp"&amp;"act.")</f>
        <v>Yes, I consider myself a creative person, not only in the artistic sense but also in how I approach social and cultural challenges. Creativity, to me, is about envisioning new ways to connect people, foster empathy, and build understanding among communities.
But creativity requires deliberate cultivation; it demands both active work and continuous nurturing. I study to expand my perspective and travel to experience realities beyond my imagination, stepping out of my comfort zone and listening to my surroundings. This program is ideal to nurture my creativity.
If selected, I would like to clarify that I only require sponsorship for my outbound flight to Jakarta. I will personally cover all return travel expenses, as I plan to extend my stay in Indonesia for a few weeks in order to immerse myself deeper into the culture.
I will transform this experience into an effective public diplomacy strategy by serving as a digital and cultural bridge between Southeast Asia and Latin America, primarily through my YouTube Channel. I will also launch cross-regional digital collaborative workshops upon my return. By translating global insights from Jakarta into local inclusion projects, I will ensure this fosters enduring youth cooperation and drives tangible social impact.</v>
      </c>
      <c r="AS79" s="61" t="str">
        <f>IFERROR(__xludf.DUMMYFUNCTION("""COMPUTED_VALUE"""),"Yes")</f>
        <v>Yes</v>
      </c>
      <c r="AT79" s="61" t="str">
        <f>IFERROR(__xludf.DUMMYFUNCTION("""COMPUTED_VALUE"""),"Yes")</f>
        <v>Yes</v>
      </c>
      <c r="AU79" s="61" t="str">
        <f>IFERROR(__xludf.DUMMYFUNCTION("""COMPUTED_VALUE"""),"Arts, Culture &amp; Soft Power")</f>
        <v>Arts, Culture &amp; Soft Power</v>
      </c>
      <c r="AV79" s="61" t="str">
        <f>IFERROR(__xludf.DUMMYFUNCTION("""COMPUTED_VALUE"""),"Scholarship portal")</f>
        <v>Scholarship portal</v>
      </c>
      <c r="AW79" s="61" t="str">
        <f>IFERROR(__xludf.DUMMYFUNCTION("""COMPUTED_VALUE"""),"Cross-Cultural Dialogue Navigation")</f>
        <v>Cross-Cultural Dialogue Navigation</v>
      </c>
      <c r="AX79" s="66" t="str">
        <f>IFERROR(__xludf.DUMMYFUNCTION("""COMPUTED_VALUE"""),"Yes")</f>
        <v>Yes</v>
      </c>
      <c r="AY79" s="66">
        <f>IFERROR(__xludf.DUMMYFUNCTION("""COMPUTED_VALUE"""),15.99)</f>
        <v>15.99</v>
      </c>
      <c r="AZ79" s="61"/>
      <c r="BA79" s="61"/>
      <c r="BB79" s="61"/>
      <c r="BC79" s="61"/>
      <c r="BD79" s="61"/>
      <c r="BE79" s="61"/>
      <c r="BF79" s="61"/>
      <c r="BG79" s="61"/>
      <c r="BH79" s="61"/>
      <c r="BI79" s="61"/>
      <c r="BJ79" s="61"/>
      <c r="BK79" s="61"/>
      <c r="BL79" s="61"/>
      <c r="BM79" s="61"/>
      <c r="BN79" s="61"/>
      <c r="BO79" s="61"/>
      <c r="BP79" s="61"/>
      <c r="BQ79" s="61"/>
      <c r="BR79" s="61"/>
    </row>
    <row r="80" ht="15.75" customHeight="1">
      <c r="A80" s="61" t="str">
        <f>IFERROR(__xludf.DUMMYFUNCTION("""COMPUTED_VALUE"""),"Full")</f>
        <v>Full</v>
      </c>
      <c r="B80" s="62">
        <f>IFERROR(__xludf.DUMMYFUNCTION("""COMPUTED_VALUE"""),98.0)</f>
        <v>98</v>
      </c>
      <c r="C80" s="61" t="str">
        <f>IFERROR(__xludf.DUMMYFUNCTION("""COMPUTED_VALUE"""),"Full")</f>
        <v>Full</v>
      </c>
      <c r="D80" s="63" t="str">
        <f>IFERROR(__xludf.DUMMYFUNCTION("""COMPUTED_VALUE"""),"Submitted")</f>
        <v>Submitted</v>
      </c>
      <c r="E80" s="63">
        <f>IFERROR(__xludf.DUMMYFUNCTION("""COMPUTED_VALUE"""),46205.06597222222)</f>
        <v>46205.06597</v>
      </c>
      <c r="F80" s="61" t="str">
        <f>IFERROR(__xludf.DUMMYFUNCTION("""COMPUTED_VALUE"""),"Jad Sandakli")</f>
        <v>Jad Sandakli</v>
      </c>
      <c r="G80" s="61" t="str">
        <f>IFERROR(__xludf.DUMMYFUNCTION("""COMPUTED_VALUE"""),"Jad Sandakli")</f>
        <v>Jad Sandakli</v>
      </c>
      <c r="H80" s="61" t="str">
        <f>IFERROR(__xludf.DUMMYFUNCTION("""COMPUTED_VALUE"""),"jadsandakli05@gmail.com")</f>
        <v>jadsandakli05@gmail.com</v>
      </c>
      <c r="I80" s="61" t="str">
        <f>IFERROR(__xludf.DUMMYFUNCTION("""COMPUTED_VALUE"""),"jws12@mail.aub.edu")</f>
        <v>jws12@mail.aub.edu</v>
      </c>
      <c r="J80" s="61" t="str">
        <f>IFERROR(__xludf.DUMMYFUNCTION("""COMPUTED_VALUE"""),"Bliss St., Hamra, Beirut, Lebanon")</f>
        <v>Bliss St., Hamra, Beirut, Lebanon</v>
      </c>
      <c r="K80" s="61" t="str">
        <f>IFERROR(__xludf.DUMMYFUNCTION("""COMPUTED_VALUE"""),"Lebanese")</f>
        <v>Lebanese</v>
      </c>
      <c r="L80" s="64" t="str">
        <f>IFERROR(__xludf.DUMMYFUNCTION("""COMPUTED_VALUE"""),"+96176087895")</f>
        <v>+96176087895</v>
      </c>
      <c r="M80" s="64">
        <f>IFERROR(__xludf.DUMMYFUNCTION("""COMPUTED_VALUE"""),38713.0)</f>
        <v>38713</v>
      </c>
      <c r="N80" s="61" t="str">
        <f>IFERROR(__xludf.DUMMYFUNCTION("""COMPUTED_VALUE"""),"LR3886360")</f>
        <v>LR3886360</v>
      </c>
      <c r="O80" s="61" t="str">
        <f>IFERROR(__xludf.DUMMYFUNCTION("""COMPUTED_VALUE"""),"Ahmad Konainah, +96170091733, ahmad.konainah@gmail.com, Friend")</f>
        <v>Ahmad Konainah, +96170091733, ahmad.konainah@gmail.com, Friend</v>
      </c>
      <c r="P80" s="65" t="str">
        <f>IFERROR(__xludf.DUMMYFUNCTION("""COMPUTED_VALUE"""),"https://www.linkedin.com/in/jadsandakli")</f>
        <v>https://www.linkedin.com/in/jadsandakli</v>
      </c>
      <c r="Q80" s="65" t="str">
        <f>IFERROR(__xludf.DUMMYFUNCTION("""COMPUTED_VALUE"""),"https://www.instagram.com/jadsandaklii")</f>
        <v>https://www.instagram.com/jadsandaklii</v>
      </c>
      <c r="R80" s="61"/>
      <c r="S80" s="61" t="str">
        <f>IFERROR(__xludf.DUMMYFUNCTION("""COMPUTED_VALUE"""),"Jad_Sandakli_Passport.jpg")</f>
        <v>Jad_Sandakli_Passport.jpg</v>
      </c>
      <c r="T80" s="61" t="str">
        <f>IFERROR(__xludf.DUMMYFUNCTION("""COMPUTED_VALUE"""),"Jad Sandakli.jpg")</f>
        <v>Jad Sandakli.jpg</v>
      </c>
      <c r="U80" s="61" t="str">
        <f>IFERROR(__xludf.DUMMYFUNCTION("""COMPUTED_VALUE"""),"Bachelor")</f>
        <v>Bachelor</v>
      </c>
      <c r="V80" s="61" t="str">
        <f>IFERROR(__xludf.DUMMYFUNCTION("""COMPUTED_VALUE"""),"Bachelor of Business Administration (BBA)")</f>
        <v>Bachelor of Business Administration (BBA)</v>
      </c>
      <c r="W80" s="61" t="str">
        <f>IFERROR(__xludf.DUMMYFUNCTION("""COMPUTED_VALUE"""),"Marketing")</f>
        <v>Marketing</v>
      </c>
      <c r="X80" s="61" t="str">
        <f>IFERROR(__xludf.DUMMYFUNCTION("""COMPUTED_VALUE"""),"American University of Beirut (AUB)")</f>
        <v>American University of Beirut (AUB)</v>
      </c>
      <c r="Y80" s="61" t="str">
        <f>IFERROR(__xludf.DUMMYFUNCTION("""COMPUTED_VALUE"""),"Yes")</f>
        <v>Yes</v>
      </c>
      <c r="Z80" s="61" t="str">
        <f>IFERROR(__xludf.DUMMYFUNCTION("""COMPUTED_VALUE"""),"Lebanon")</f>
        <v>Lebanon</v>
      </c>
      <c r="AA80" s="61" t="str">
        <f>IFERROR(__xludf.DUMMYFUNCTION("""COMPUTED_VALUE"""),"No")</f>
        <v>No</v>
      </c>
      <c r="AB80" s="61"/>
      <c r="AC80" s="61" t="str">
        <f>IFERROR(__xludf.DUMMYFUNCTION("""COMPUTED_VALUE"""),"Yes, I have done a lot of academic research in the past two years as part of my coursework and now working on a piece to publish in a peer-reviewed journal")</f>
        <v>Yes, I have done a lot of academic research in the past two years as part of my coursework and now working on a piece to publish in a peer-reviewed journal</v>
      </c>
      <c r="AD80" s="61" t="str">
        <f>IFERROR(__xludf.DUMMYFUNCTION("""COMPUTED_VALUE"""),"Yes, I volunteered with Le Lycée National, my former school in Beirut, as Committee Chair for the senior graduation committee.")</f>
        <v>Yes, I volunteered with Le Lycée National, my former school in Beirut, as Committee Chair for the senior graduation committee.</v>
      </c>
      <c r="AE80" s="65" t="str">
        <f>IFERROR(__xludf.DUMMYFUNCTION("""COMPUTED_VALUE"""),"https://www.le-lycee-national.edu.lb/")</f>
        <v>https://www.le-lycee-national.edu.lb/</v>
      </c>
      <c r="AF80" s="61" t="str">
        <f>IFERROR(__xludf.DUMMYFUNCTION("""COMPUTED_VALUE"""),"Committee Chair, responsible for organizing our senior class graduation activities and leading community fundraising efforts.")</f>
        <v>Committee Chair, responsible for organizing our senior class graduation activities and leading community fundraising efforts.</v>
      </c>
      <c r="AG80" s="61" t="str">
        <f>IFERROR(__xludf.DUMMYFUNCTION("""COMPUTED_VALUE"""),"3 years, including volunteer and leadership positions since 2023 across school, university, and startup environments.")</f>
        <v>3 years, including volunteer and leadership positions since 2023 across school, university, and startup environments.</v>
      </c>
      <c r="AH80" s="61" t="str">
        <f>IFERROR(__xludf.DUMMYFUNCTION("""COMPUTED_VALUE"""),"No")</f>
        <v>No</v>
      </c>
      <c r="AI80" s="61" t="str">
        <f>IFERROR(__xludf.DUMMYFUNCTION("""COMPUTED_VALUE"""),"Not applicable. I am a full time student completing my BBA in Marketing at the American University of Beirut, and I run two startups, Nerve Media and Pavia, as founder led ventures that are not yet profit generating.")</f>
        <v>Not applicable. I am a full time student completing my BBA in Marketing at the American University of Beirut, and I run two startups, Nerve Media and Pavia, as founder led ventures that are not yet profit generating.</v>
      </c>
      <c r="AJ80" s="61" t="str">
        <f>IFERROR(__xludf.DUMMYFUNCTION("""COMPUTED_VALUE"""),"Yes. Nerve Media")</f>
        <v>Yes. Nerve Media</v>
      </c>
      <c r="AK80" s="61" t="str">
        <f>IFERROR(__xludf.DUMMYFUNCTION("""COMPUTED_VALUE"""),"To give youth-led businesses and young founders access to professional marketing support that is usually out of reach when budgets are limited and every client either becomes a long term relationship or a missed chance. Because the businesses we support a"&amp;"re almost always started by people our own age, every strategy we build accounts for limited resources, fast pivots, and founders still learning their industry while running it.")</f>
        <v>To give youth-led businesses and young founders access to professional marketing support that is usually out of reach when budgets are limited and every client either becomes a long term relationship or a missed chance. Because the businesses we support are almost always started by people our own age, every strategy we build accounts for limited resources, fast pivots, and founders still learning their industry while running it.</v>
      </c>
      <c r="AL80" s="61" t="str">
        <f>IFERROR(__xludf.DUMMYFUNCTION("""COMPUTED_VALUE"""),"My skillset integrates digital marketing execution with direct experience leading and working alongside youth. At the Ministry of Youth and Sports, I helped design national campaigns that targeted young people directly, and at Nerve Media, I lead a team b"&amp;"uilt mostly of student creators while supporting youth led startups with strategy and content. On the technical side, I bring campaign management, paid advertising, SEO, and brand positioning, along with video production, photography, and visual storytell"&amp;"ing using Adobe Creative Suite and CapCut. I also rely on Google Analytics and KPI tracking to measure real impact rather than guesswork. What ties all of it together is a leadership style built on giving young people real responsibility early, the same w"&amp;"ay I was given it when I started.")</f>
        <v>My skillset integrates digital marketing execution with direct experience leading and working alongside youth. At the Ministry of Youth and Sports, I helped design national campaigns that targeted young people directly, and at Nerve Media, I lead a team built mostly of student creators while supporting youth led startups with strategy and content. On the technical side, I bring campaign management, paid advertising, SEO, and brand positioning, along with video production, photography, and visual storytelling using Adobe Creative Suite and CapCut. I also rely on Google Analytics and KPI tracking to measure real impact rather than guesswork. What ties all of it together is a leadership style built on giving young people real responsibility early, the same way I was given it when I started.</v>
      </c>
      <c r="AM80" s="61" t="str">
        <f>IFERROR(__xludf.DUMMYFUNCTION("""COMPUTED_VALUE"""),"Jad_Sandakli_CV.pdf")</f>
        <v>Jad_Sandakli_CV.pdf</v>
      </c>
      <c r="AN80" s="61" t="str">
        <f>IFERROR(__xludf.DUMMYFUNCTION("""COMPUTED_VALUE"""),"Yes. During a human centered design course at AUB, I chose Lebanon's public transportation system as my project, because I use shared taxis and see how broken it is for ordinary people. I spent weeks interviewing ACTC drivers and passengers, tracking fail"&amp;"ed routes, lost income, and safety concerns. I turned those conversations into a concrete proposal and presented it to ACTC stakeholders, not just my professor. It did not fix public transportation in Lebanon overnight, but it proved something I still car"&amp;"ry with me. Real problems here need someone willing to sit with a driver for an hour and listen.")</f>
        <v>Yes. During a human centered design course at AUB, I chose Lebanon's public transportation system as my project, because I use shared taxis and see how broken it is for ordinary people. I spent weeks interviewing ACTC drivers and passengers, tracking failed routes, lost income, and safety concerns. I turned those conversations into a concrete proposal and presented it to ACTC stakeholders, not just my professor. It did not fix public transportation in Lebanon overnight, but it proved something I still carry with me. Real problems here need someone willing to sit with a driver for an hour and listen.</v>
      </c>
      <c r="AO80" s="61" t="str">
        <f>IFERROR(__xludf.DUMMYFUNCTION("""COMPUTED_VALUE"""),"Switzerland. Two centuries of neutrality did not make it irrelevant, it made it the address the world trusts when no one else can host the conversation. Geneva holds the Red Cross headquarters, the site of the original Geneva Conventions, and negotiating "&amp;"tables for conflicts from Iran to Ukraine. Switzerland earned that position through patience, not military strength or economic size, building a reputation for fairness until every side of a conflict agreed it was the one place a deal could get signed. Th"&amp;"at is public diplomacy at its most effective, earned trust used as leverage instead of force.")</f>
        <v>Switzerland. Two centuries of neutrality did not make it irrelevant, it made it the address the world trusts when no one else can host the conversation. Geneva holds the Red Cross headquarters, the site of the original Geneva Conventions, and negotiating tables for conflicts from Iran to Ukraine. Switzerland earned that position through patience, not military strength or economic size, building a reputation for fairness until every side of a conflict agreed it was the one place a deal could get signed. That is public diplomacy at its most effective, earned trust used as leverage instead of force.</v>
      </c>
      <c r="AP80" s="61" t="str">
        <f>IFERROR(__xludf.DUMMYFUNCTION("""COMPUTED_VALUE"""),"Youth are not future diplomats waiting for permission to participate. We are already changing how nations communicate, often through platforms and formats that traditional diplomacy has not caught up to yet. At the Ministry of Youth and Sports, I helped t"&amp;"ranslate national initiatives into content that young Lebanese people would actually stop scrolling to read, turning policy language into stories people wanted to share. At OMSAR, I worked on campaigns encouraging citizens to trust and use new digital gov"&amp;"ernment services, learning that public diplomacy often starts inside a country before it reaches beyond its borders. Public diplomacy, to me, is the practice of building understanding and trust between people rather than only between governments. Every ca"&amp;"ption I have written, every campaign I have planned, and every community I have helped grow online has been an exercise in that same skill, translating complex ideas into language people connect with. Youth carry a distinct advantage in the diplomatic spa"&amp;"ce because the same languages, platforms, and cultural references we already use are what younger generations everywhere rely on to form opinions of other nations, institutions, and each other, long before any official statement ever reaches them.")</f>
        <v>Youth are not future diplomats waiting for permission to participate. We are already changing how nations communicate, often through platforms and formats that traditional diplomacy has not caught up to yet. At the Ministry of Youth and Sports, I helped translate national initiatives into content that young Lebanese people would actually stop scrolling to read, turning policy language into stories people wanted to share. At OMSAR, I worked on campaigns encouraging citizens to trust and use new digital government services, learning that public diplomacy often starts inside a country before it reaches beyond its borders. Public diplomacy, to me, is the practice of building understanding and trust between people rather than only between governments. Every caption I have written, every campaign I have planned, and every community I have helped grow online has been an exercise in that same skill, translating complex ideas into language people connect with. Youth carry a distinct advantage in the diplomatic space because the same languages, platforms, and cultural references we already use are what younger generations everywhere rely on to form opinions of other nations, institutions, and each other, long before any official statement ever reaches them.</v>
      </c>
      <c r="AQ80" s="61" t="str">
        <f>IFERROR(__xludf.DUMMYFUNCTION("""COMPUTED_VALUE"""),"Passion is not excitement, it is the refusal to sit still when everything around you says you should. I was born into a war, grew up without my father for years while he worked abroad to support us, and by ninth grade watched a financial collapse, a house"&amp;" damaged by the Beirut explosion, and then a full year locked inside during COVID. None of those things were choices I made. What I did choose was what to do inside them. During lockdown, alone in my room, I learned Photoshop and After Effects on my own a"&amp;"nd started earning money working with local influencers. When school reopened, I kept building, selling phone cases to classmates while everyone else waited for things to go back to normal. Passion, for me, is choosing to build something small and real ev"&amp;"ery single time life gives you a reason to stop.")</f>
        <v>Passion is not excitement, it is the refusal to sit still when everything around you says you should. I was born into a war, grew up without my father for years while he worked abroad to support us, and by ninth grade watched a financial collapse, a house damaged by the Beirut explosion, and then a full year locked inside during COVID. None of those things were choices I made. What I did choose was what to do inside them. During lockdown, alone in my room, I learned Photoshop and After Effects on my own and started earning money working with local influencers. When school reopened, I kept building, selling phone cases to classmates while everyone else waited for things to go back to normal. Passion, for me, is choosing to build something small and real every single time life gives you a reason to stop.</v>
      </c>
      <c r="AR80" s="61" t="str">
        <f>IFERROR(__xludf.DUMMYFUNCTION("""COMPUTED_VALUE"""),"Yes, but the useful kind of creativity knows when to stop being creative and start reading the data. My first business failed because I chased profit in month one instead of building something people trusted, a mistake most young founders make once. When "&amp;"I built Nerve Media, I flipped that lesson into strategy. Every account we manage gets a real analytics review before a single caption gets written, so the content is built around what an audience already proves it wants, not what looks good on a mood boa"&amp;"rd. That approach is why one client crossed eight hundred thousand organic views in thirty days, and why ten different businesses trusted us with their name instead of hiring an agency twice our size. Public diplomacy works the same way. A country that le"&amp;"ads with polished messaging before it understands what its audience actually responds to is guessing. I would apply the exact discipline I use with clients, research before content, evidence before storytelling, to any public diplomacy campaign I am asked"&amp;" to build, because a nation's story deserves the same rigor as a small business trying to survive its first year.")</f>
        <v>Yes, but the useful kind of creativity knows when to stop being creative and start reading the data. My first business failed because I chased profit in month one instead of building something people trusted, a mistake most young founders make once. When I built Nerve Media, I flipped that lesson into strategy. Every account we manage gets a real analytics review before a single caption gets written, so the content is built around what an audience already proves it wants, not what looks good on a mood board. That approach is why one client crossed eight hundred thousand organic views in thirty days, and why ten different businesses trusted us with their name instead of hiring an agency twice our size. Public diplomacy works the same way. A country that leads with polished messaging before it understands what its audience actually responds to is guessing. I would apply the exact discipline I use with clients, research before content, evidence before storytelling, to any public diplomacy campaign I am asked to build, because a nation's story deserves the same rigor as a small business trying to survive its first year.</v>
      </c>
      <c r="AS80" s="61" t="str">
        <f>IFERROR(__xludf.DUMMYFUNCTION("""COMPUTED_VALUE"""),"Yes")</f>
        <v>Yes</v>
      </c>
      <c r="AT80" s="61" t="str">
        <f>IFERROR(__xludf.DUMMYFUNCTION("""COMPUTED_VALUE"""),"Yes")</f>
        <v>Yes</v>
      </c>
      <c r="AU80" s="61" t="str">
        <f>IFERROR(__xludf.DUMMYFUNCTION("""COMPUTED_VALUE"""),"Philosophy, Media &amp; Diplomacy in International Relations")</f>
        <v>Philosophy, Media &amp; Diplomacy in International Relations</v>
      </c>
      <c r="AV80" s="61" t="str">
        <f>IFERROR(__xludf.DUMMYFUNCTION("""COMPUTED_VALUE"""),"Scholarship Portal (Opportunities Corners)")</f>
        <v>Scholarship Portal (Opportunities Corners)</v>
      </c>
      <c r="AW80" s="61" t="str">
        <f>IFERROR(__xludf.DUMMYFUNCTION("""COMPUTED_VALUE"""),"Strategic Communication: Techniques for effective advocacy, public diplomacy, and media engagement.")</f>
        <v>Strategic Communication: Techniques for effective advocacy, public diplomacy, and media engagement.</v>
      </c>
      <c r="AX80" s="66" t="str">
        <f>IFERROR(__xludf.DUMMYFUNCTION("""COMPUTED_VALUE"""),"Yes")</f>
        <v>Yes</v>
      </c>
      <c r="AY80" s="66">
        <f>IFERROR(__xludf.DUMMYFUNCTION("""COMPUTED_VALUE"""),15.99)</f>
        <v>15.99</v>
      </c>
      <c r="AZ80" s="61"/>
      <c r="BA80" s="61"/>
      <c r="BB80" s="61"/>
      <c r="BC80" s="61"/>
      <c r="BD80" s="61"/>
      <c r="BE80" s="61"/>
      <c r="BF80" s="61"/>
      <c r="BG80" s="61"/>
      <c r="BH80" s="61"/>
      <c r="BI80" s="61"/>
      <c r="BJ80" s="61"/>
      <c r="BK80" s="61"/>
      <c r="BL80" s="61"/>
      <c r="BM80" s="61"/>
      <c r="BN80" s="61"/>
      <c r="BO80" s="61"/>
      <c r="BP80" s="61"/>
      <c r="BQ80" s="61"/>
      <c r="BR80" s="61"/>
    </row>
    <row r="81" ht="15.75" customHeight="1">
      <c r="A81" s="61" t="str">
        <f>IFERROR(__xludf.DUMMYFUNCTION("""COMPUTED_VALUE"""),"")</f>
        <v/>
      </c>
      <c r="B81" s="62">
        <f>IFERROR(__xludf.DUMMYFUNCTION("""COMPUTED_VALUE"""),99.0)</f>
        <v>99</v>
      </c>
      <c r="C81" s="61" t="str">
        <f>IFERROR(__xludf.DUMMYFUNCTION("""COMPUTED_VALUE"""),"Self")</f>
        <v>Self</v>
      </c>
      <c r="D81" s="63" t="str">
        <f>IFERROR(__xludf.DUMMYFUNCTION("""COMPUTED_VALUE"""),"Submitted")</f>
        <v>Submitted</v>
      </c>
      <c r="E81" s="63">
        <f>IFERROR(__xludf.DUMMYFUNCTION("""COMPUTED_VALUE"""),46205.77569444444)</f>
        <v>46205.77569</v>
      </c>
      <c r="F81" s="61" t="str">
        <f>IFERROR(__xludf.DUMMYFUNCTION("""COMPUTED_VALUE"""),"Pauline Blanchet")</f>
        <v>Pauline Blanchet</v>
      </c>
      <c r="G81" s="61" t="str">
        <f>IFERROR(__xludf.DUMMYFUNCTION("""COMPUTED_VALUE"""),"Pauline Blanchet")</f>
        <v>Pauline Blanchet</v>
      </c>
      <c r="H81" s="61" t="str">
        <f>IFERROR(__xludf.DUMMYFUNCTION("""COMPUTED_VALUE"""),"pauline@aralseaproductions.com")</f>
        <v>pauline@aralseaproductions.com</v>
      </c>
      <c r="I81" s="61" t="str">
        <f>IFERROR(__xludf.DUMMYFUNCTION("""COMPUTED_VALUE"""),"paulineblanchetstudio@gmail.com")</f>
        <v>paulineblanchetstudio@gmail.com</v>
      </c>
      <c r="J81" s="61" t="str">
        <f>IFERROR(__xludf.DUMMYFUNCTION("""COMPUTED_VALUE"""),"Boulevard 30 Kocho Racin, Skopje")</f>
        <v>Boulevard 30 Kocho Racin, Skopje</v>
      </c>
      <c r="K81" s="61" t="str">
        <f>IFERROR(__xludf.DUMMYFUNCTION("""COMPUTED_VALUE"""),"French")</f>
        <v>French</v>
      </c>
      <c r="L81" s="64" t="str">
        <f>IFERROR(__xludf.DUMMYFUNCTION("""COMPUTED_VALUE"""),"+447738685608")</f>
        <v>+447738685608</v>
      </c>
      <c r="M81" s="64">
        <f>IFERROR(__xludf.DUMMYFUNCTION("""COMPUTED_VALUE"""),35326.0)</f>
        <v>35326</v>
      </c>
      <c r="N81" s="61" t="str">
        <f>IFERROR(__xludf.DUMMYFUNCTION("""COMPUTED_VALUE"""),"25AF26736")</f>
        <v>25AF26736</v>
      </c>
      <c r="O81" s="61" t="str">
        <f>IFERROR(__xludf.DUMMYFUNCTION("""COMPUTED_VALUE"""),"Elisabeth Blanchet")</f>
        <v>Elisabeth Blanchet</v>
      </c>
      <c r="P81" s="65" t="str">
        <f>IFERROR(__xludf.DUMMYFUNCTION("""COMPUTED_VALUE"""),"https://www.linkedin.com/in/paulineblanchet/")</f>
        <v>https://www.linkedin.com/in/paulineblanchet/</v>
      </c>
      <c r="Q81" s="61" t="str">
        <f>IFERROR(__xludf.DUMMYFUNCTION("""COMPUTED_VALUE"""),"@paulyblanchet")</f>
        <v>@paulyblanchet</v>
      </c>
      <c r="R81" s="61"/>
      <c r="S81" s="61" t="str">
        <f>IFERROR(__xludf.DUMMYFUNCTION("""COMPUTED_VALUE"""),"Passport.png")</f>
        <v>Passport.png</v>
      </c>
      <c r="T81" s="61" t="str">
        <f>IFERROR(__xludf.DUMMYFUNCTION("""COMPUTED_VALUE"""),"Pauline Blanchet Headshot.jpg")</f>
        <v>Pauline Blanchet Headshot.jpg</v>
      </c>
      <c r="U81" s="61" t="str">
        <f>IFERROR(__xludf.DUMMYFUNCTION("""COMPUTED_VALUE"""),"PhD")</f>
        <v>PhD</v>
      </c>
      <c r="V81" s="61" t="str">
        <f>IFERROR(__xludf.DUMMYFUNCTION("""COMPUTED_VALUE"""),"Anthropology")</f>
        <v>Anthropology</v>
      </c>
      <c r="W81" s="61" t="str">
        <f>IFERROR(__xludf.DUMMYFUNCTION("""COMPUTED_VALUE"""),"Post-conflict ethnic urban relations")</f>
        <v>Post-conflict ethnic urban relations</v>
      </c>
      <c r="X81" s="61" t="str">
        <f>IFERROR(__xludf.DUMMYFUNCTION("""COMPUTED_VALUE"""),"University of London Institute in Paris")</f>
        <v>University of London Institute in Paris</v>
      </c>
      <c r="Y81" s="61" t="str">
        <f>IFERROR(__xludf.DUMMYFUNCTION("""COMPUTED_VALUE"""),"Yes")</f>
        <v>Yes</v>
      </c>
      <c r="Z81" s="61" t="str">
        <f>IFERROR(__xludf.DUMMYFUNCTION("""COMPUTED_VALUE"""),"United Kingdom")</f>
        <v>United Kingdom</v>
      </c>
      <c r="AA81" s="61" t="str">
        <f>IFERROR(__xludf.DUMMYFUNCTION("""COMPUTED_VALUE"""),"Yes")</f>
        <v>Yes</v>
      </c>
      <c r="AB81" s="61" t="str">
        <f>IFERROR(__xludf.DUMMYFUNCTION("""COMPUTED_VALUE"""),"British School in Athens")</f>
        <v>British School in Athens</v>
      </c>
      <c r="AC81" s="61" t="str">
        <f>IFERROR(__xludf.DUMMYFUNCTION("""COMPUTED_VALUE"""),"Yes very")</f>
        <v>Yes very</v>
      </c>
      <c r="AD81" s="61" t="str">
        <f>IFERROR(__xludf.DUMMYFUNCTION("""COMPUTED_VALUE"""),"Geneva Centre of Humanitarian Studies")</f>
        <v>Geneva Centre of Humanitarian Studies</v>
      </c>
      <c r="AE81" s="65" t="str">
        <f>IFERROR(__xludf.DUMMYFUNCTION("""COMPUTED_VALUE"""),"https://www.unige.ch/medecine/humanitarianstudies")</f>
        <v>https://www.unige.ch/medecine/humanitarianstudies</v>
      </c>
      <c r="AF81" s="61" t="str">
        <f>IFERROR(__xludf.DUMMYFUNCTION("""COMPUTED_VALUE"""),"Freelance Video Producer &amp; Communications Consultant")</f>
        <v>Freelance Video Producer &amp; Communications Consultant</v>
      </c>
      <c r="AG81" s="61" t="str">
        <f>IFERROR(__xludf.DUMMYFUNCTION("""COMPUTED_VALUE"""),"Project based since 2020")</f>
        <v>Project based since 2020</v>
      </c>
      <c r="AH81" s="61" t="str">
        <f>IFERROR(__xludf.DUMMYFUNCTION("""COMPUTED_VALUE"""),"No")</f>
        <v>No</v>
      </c>
      <c r="AI81" s="61"/>
      <c r="AJ81" s="61" t="str">
        <f>IFERROR(__xludf.DUMMYFUNCTION("""COMPUTED_VALUE"""),"Yes")</f>
        <v>Yes</v>
      </c>
      <c r="AK81" s="61" t="str">
        <f>IFERROR(__xludf.DUMMYFUNCTION("""COMPUTED_VALUE"""),"I founded Pharos London, a youth-led media initiative using podcasts, XR/VR, and film to open up conversations around politics, social awareness, and international relations, making global affairs more accessible to young people who are often excluded fro"&amp;"m these spaces. The initiative was rooted in the belief that strategic communication and storytelling are powerful tools of cultural diplomacy, capable of bridging divides and building cross-cultural understanding. This work later evolved into Aral Sea Pr"&amp;"oductions, now an established, Sundance-supported filmmaking and podcast studio that continues this mission, using media as a platform for youth voice, social impact, and international dialogue.")</f>
        <v>I founded Pharos London, a youth-led media initiative using podcasts, XR/VR, and film to open up conversations around politics, social awareness, and international relations, making global affairs more accessible to young people who are often excluded from these spaces. The initiative was rooted in the belief that strategic communication and storytelling are powerful tools of cultural diplomacy, capable of bridging divides and building cross-cultural understanding. This work later evolved into Aral Sea Productions, now an established, Sundance-supported filmmaking and podcast studio that continues this mission, using media as a platform for youth voice, social impact, and international dialogue.</v>
      </c>
      <c r="AL81" s="61" t="str">
        <f>IFERROR(__xludf.DUMMYFUNCTION("""COMPUTED_VALUE"""),"Documentary directing &amp; producing, video production and editing, podcast production and hosting, strategic communications and public diplomacy outreach, social media and press management, cross-cultural storytelling, NGO and institutional communications, "&amp;"public speaking and pitching (EURODOC, Al Jazeera Balkans, Sheffield Doc Fest), research and academic writing (Critical Urban Studies PhD candidate), and multilingual, cross-border project experience across Europe, the Balkans, and Central Asia.")</f>
        <v>Documentary directing &amp; producing, video production and editing, podcast production and hosting, strategic communications and public diplomacy outreach, social media and press management, cross-cultural storytelling, NGO and institutional communications, public speaking and pitching (EURODOC, Al Jazeera Balkans, Sheffield Doc Fest), research and academic writing (Critical Urban Studies PhD candidate), and multilingual, cross-border project experience across Europe, the Balkans, and Central Asia.</v>
      </c>
      <c r="AM81" s="61" t="str">
        <f>IFERROR(__xludf.DUMMYFUNCTION("""COMPUTED_VALUE"""),"Pauline Blanchet - 2026 - CV.pdf")</f>
        <v>Pauline Blanchet - 2026 - CV.pdf</v>
      </c>
      <c r="AN81" s="61" t="str">
        <f>IFERROR(__xludf.DUMMYFUNCTION("""COMPUTED_VALUE"""),"I believe storytelling and research can shift how people understand injustice. Through Aral Sea Productions, I've directed documentaries confronting sex workers' rights, asylum policy, and modern-day slavery, giving voice to communities left out of mainst"&amp;"ream narratives. My PhD in Critical Urban Studies extends this into rigorous research on space, identity, and marginalisation in cities like Skopje, and Western Balkans. I also produced a World Bank campaign film on Roma access to services in North Macedo"&amp;"nia, and founded Pharos London to make political and social issues accessible to young people through media. Impact, for me, means combining scholarship with storytelling.")</f>
        <v>I believe storytelling and research can shift how people understand injustice. Through Aral Sea Productions, I've directed documentaries confronting sex workers' rights, asylum policy, and modern-day slavery, giving voice to communities left out of mainstream narratives. My PhD in Critical Urban Studies extends this into rigorous research on space, identity, and marginalisation in cities like Skopje, and Western Balkans. I also produced a World Bank campaign film on Roma access to services in North Macedonia, and founded Pharos London to make political and social issues accessible to young people through media. Impact, for me, means combining scholarship with storytelling.</v>
      </c>
      <c r="AO81" s="61" t="str">
        <f>IFERROR(__xludf.DUMMYFUNCTION("""COMPUTED_VALUE"""),"I believe North Macedonia holds outsized diplomatic significance. Sitting at the crossroads of EU accession politics, Balkan regional tensions, and competing Russian, Chinese, and Western influence, it is a live case study in soft power and identity diplo"&amp;"macy. Having filmed there, I've seen how naming disputes, minority rights, and EU integration converge in daily life. Its trajectory will shape whether the Western Balkans stabilises toward Europe or fragments further. Small states like this often reveal "&amp;"more about global power dynamics than the major powers themselves.")</f>
        <v>I believe North Macedonia holds outsized diplomatic significance. Sitting at the crossroads of EU accession politics, Balkan regional tensions, and competing Russian, Chinese, and Western influence, it is a live case study in soft power and identity diplomacy. Having filmed there, I've seen how naming disputes, minority rights, and EU integration converge in daily life. Its trajectory will shape whether the Western Balkans stabilises toward Europe or fragments further. Small states like this often reveal more about global power dynamics than the major powers themselves.</v>
      </c>
      <c r="AP81" s="61" t="str">
        <f>IFERROR(__xludf.DUMMYFUNCTION("""COMPUTED_VALUE"""),"I relate to public diplomacy through practice as much as theory. I've used documentary, podcasting, and XR to make political and social issues accessible to audiences often excluded from formal diplomatic spaces. As a Cumberland Lodge Fellow, I engage dir"&amp;"ectly in dialogue on social cohesion and shared values, the same principles underpinning public diplomacy. My PhD research on identity and space in the Balkans grounds this further. For me, public diplomacy happens wherever media and dialogue build unders"&amp;"tanding across divides, and youth are positioned to lead that shift.")</f>
        <v>I relate to public diplomacy through practice as much as theory. I've used documentary, podcasting, and XR to make political and social issues accessible to audiences often excluded from formal diplomatic spaces. As a Cumberland Lodge Fellow, I engage directly in dialogue on social cohesion and shared values, the same principles underpinning public diplomacy. My PhD research on identity and space in the Balkans grounds this further. For me, public diplomacy happens wherever media and dialogue build understanding across divides, and youth are positioned to lead that shift.</v>
      </c>
      <c r="AQ81" s="61" t="str">
        <f>IFERROR(__xludf.DUMMYFUNCTION("""COMPUTED_VALUE"""),"Passion, to me, is sustained curiosity paired with the discipline to keep showing up for something even when it's unfunded or seemingly impossible. For me, that passion is rooted in cultural exchange: the belief that sitting with someone else's story, lan"&amp;"guage, or worldview long enough to truly understand it can change how we see the world. It's the difference between liking an idea and actually building a life around it, by taking on unpaid drafts, unanswered pitches, and steep learning curves without lo"&amp;"sing momentum. Passion helps me achieve goals by turning empathy into daily practice: showing up to listen one more time, edit one more cut, or sit with a difficult story long after initial motivation fades. When a goal feels distant, empathy for who it's"&amp;" meant to serve is what keeps the next small step worth taking.")</f>
        <v>Passion, to me, is sustained curiosity paired with the discipline to keep showing up for something even when it's unfunded or seemingly impossible. For me, that passion is rooted in cultural exchange: the belief that sitting with someone else's story, language, or worldview long enough to truly understand it can change how we see the world. It's the difference between liking an idea and actually building a life around it, by taking on unpaid drafts, unanswered pitches, and steep learning curves without losing momentum. Passion helps me achieve goals by turning empathy into daily practice: showing up to listen one more time, edit one more cut, or sit with a difficult story long after initial motivation fades. When a goal feels distant, empathy for who it's meant to serve is what keeps the next small step worth taking.</v>
      </c>
      <c r="AR81" s="61" t="str">
        <f>IFERROR(__xludf.DUMMYFUNCTION("""COMPUTED_VALUE"""),"Traditional diplomacy often struggles to reach younger, digitally native audiences. Creative formats; short documentary, immersive XR, serialized podcasts, can close that gap by turning abstract geopolitics into human stories people choose to engage with "&amp;"rather than have delivered to them. My experience directing narrative-driven campaigns, including institutional work like the World Bank's Roma inclusion film, shows how creative storytelling can carry an institution's message without losing nuance or tru"&amp;"st. I see creativity as a diplomatic tool in itself: a way to build empathy across cultural and political lines before formal negotiation even begins. Used strategically, it doesn't replace traditional diplomacy: it opens the door for it, making audiences"&amp;" receptive before the harder conversations start.")</f>
        <v>Traditional diplomacy often struggles to reach younger, digitally native audiences. Creative formats; short documentary, immersive XR, serialized podcasts, can close that gap by turning abstract geopolitics into human stories people choose to engage with rather than have delivered to them. My experience directing narrative-driven campaigns, including institutional work like the World Bank's Roma inclusion film, shows how creative storytelling can carry an institution's message without losing nuance or trust. I see creativity as a diplomatic tool in itself: a way to build empathy across cultural and political lines before formal negotiation even begins. Used strategically, it doesn't replace traditional diplomacy: it opens the door for it, making audiences receptive before the harder conversations start.</v>
      </c>
      <c r="AS81" s="61" t="str">
        <f>IFERROR(__xludf.DUMMYFUNCTION("""COMPUTED_VALUE"""),"Yes")</f>
        <v>Yes</v>
      </c>
      <c r="AT81" s="61" t="str">
        <f>IFERROR(__xludf.DUMMYFUNCTION("""COMPUTED_VALUE"""),"Yes")</f>
        <v>Yes</v>
      </c>
      <c r="AU81" s="61" t="str">
        <f>IFERROR(__xludf.DUMMYFUNCTION("""COMPUTED_VALUE"""),"Arts, Culture &amp; Soft Power")</f>
        <v>Arts, Culture &amp; Soft Power</v>
      </c>
      <c r="AV81" s="61" t="str">
        <f>IFERROR(__xludf.DUMMYFUNCTION("""COMPUTED_VALUE"""),"Online")</f>
        <v>Online</v>
      </c>
      <c r="AW81" s="61"/>
      <c r="AX81" s="66" t="str">
        <f>IFERROR(__xludf.DUMMYFUNCTION("""COMPUTED_VALUE"""),"Yes")</f>
        <v>Yes</v>
      </c>
      <c r="AY81" s="66">
        <f>IFERROR(__xludf.DUMMYFUNCTION("""COMPUTED_VALUE"""),15.99)</f>
        <v>15.99</v>
      </c>
      <c r="AZ81" s="61"/>
      <c r="BA81" s="61"/>
      <c r="BB81" s="61"/>
      <c r="BC81" s="61"/>
      <c r="BD81" s="61"/>
      <c r="BE81" s="61"/>
      <c r="BF81" s="61"/>
      <c r="BG81" s="61"/>
      <c r="BH81" s="61"/>
      <c r="BI81" s="61"/>
      <c r="BJ81" s="61"/>
      <c r="BK81" s="61"/>
      <c r="BL81" s="61"/>
      <c r="BM81" s="61"/>
      <c r="BN81" s="61"/>
      <c r="BO81" s="61"/>
      <c r="BP81" s="61"/>
      <c r="BQ81" s="61"/>
      <c r="BR81" s="61"/>
    </row>
    <row r="82" ht="15.75" customHeight="1">
      <c r="A82" s="61" t="str">
        <f>IFERROR(__xludf.DUMMYFUNCTION("""COMPUTED_VALUE"""),"Partial")</f>
        <v>Partial</v>
      </c>
      <c r="B82" s="62">
        <f>IFERROR(__xludf.DUMMYFUNCTION("""COMPUTED_VALUE"""),100.0)</f>
        <v>100</v>
      </c>
      <c r="C82" s="61" t="str">
        <f>IFERROR(__xludf.DUMMYFUNCTION("""COMPUTED_VALUE"""),"Partial")</f>
        <v>Partial</v>
      </c>
      <c r="D82" s="63" t="str">
        <f>IFERROR(__xludf.DUMMYFUNCTION("""COMPUTED_VALUE"""),"Submitted")</f>
        <v>Submitted</v>
      </c>
      <c r="E82" s="63">
        <f>IFERROR(__xludf.DUMMYFUNCTION("""COMPUTED_VALUE"""),46206.02777777778)</f>
        <v>46206.02778</v>
      </c>
      <c r="F82" s="61" t="str">
        <f>IFERROR(__xludf.DUMMYFUNCTION("""COMPUTED_VALUE"""),"Shakhodat Yuldosheva")</f>
        <v>Shakhodat Yuldosheva</v>
      </c>
      <c r="G82" s="61" t="str">
        <f>IFERROR(__xludf.DUMMYFUNCTION("""COMPUTED_VALUE"""),"Shakhodat YUdosheva")</f>
        <v>Shakhodat YUdosheva</v>
      </c>
      <c r="H82" s="61" t="str">
        <f>IFERROR(__xludf.DUMMYFUNCTION("""COMPUTED_VALUE"""),"shahodatyoldosheva05@gmail.com")</f>
        <v>shahodatyoldosheva05@gmail.com</v>
      </c>
      <c r="I82" s="61" t="str">
        <f>IFERROR(__xludf.DUMMYFUNCTION("""COMPUTED_VALUE"""),"sh.yoldosheva@sharoitplus.uz")</f>
        <v>sh.yoldosheva@sharoitplus.uz</v>
      </c>
      <c r="J82" s="61" t="str">
        <f>IFERROR(__xludf.DUMMYFUNCTION("""COMPUTED_VALUE"""),"Qozirobod 20, Tashkent, Uzbekistan")</f>
        <v>Qozirobod 20, Tashkent, Uzbekistan</v>
      </c>
      <c r="K82" s="61" t="str">
        <f>IFERROR(__xludf.DUMMYFUNCTION("""COMPUTED_VALUE"""),"Uzbekistani")</f>
        <v>Uzbekistani</v>
      </c>
      <c r="L82" s="64" t="str">
        <f>IFERROR(__xludf.DUMMYFUNCTION("""COMPUTED_VALUE"""),"+998900455044")</f>
        <v>+998900455044</v>
      </c>
      <c r="M82" s="64">
        <f>IFERROR(__xludf.DUMMYFUNCTION("""COMPUTED_VALUE"""),37381.0)</f>
        <v>37381</v>
      </c>
      <c r="N82" s="61" t="str">
        <f>IFERROR(__xludf.DUMMYFUNCTION("""COMPUTED_VALUE"""),"FA9466002")</f>
        <v>FA9466002</v>
      </c>
      <c r="O82" s="61" t="str">
        <f>IFERROR(__xludf.DUMMYFUNCTION("""COMPUTED_VALUE"""),"+998993662981")</f>
        <v>+998993662981</v>
      </c>
      <c r="P82" s="65" t="str">
        <f>IFERROR(__xludf.DUMMYFUNCTION("""COMPUTED_VALUE"""),"https://www.linkedin.com/in/shahodat-yo-ldosheva-453145278/?lipi=urn%3Ali%3Apage%3Ad_flagship3_profile_view_base_contact_details%3Bz0VZvS1FRoCVnUkY5T6K4w%3D%3D")</f>
        <v>https://www.linkedin.com/in/shahodat-yo-ldosheva-453145278/?lipi=urn%3Ali%3Apage%3Ad_flagship3_profile_view_base_contact_details%3Bz0VZvS1FRoCVnUkY5T6K4w%3D%3D</v>
      </c>
      <c r="Q82" s="65" t="str">
        <f>IFERROR(__xludf.DUMMYFUNCTION("""COMPUTED_VALUE"""),"https://www.instagram.com/shahodat_yoldosheva/#")</f>
        <v>https://www.instagram.com/shahodat_yoldosheva/#</v>
      </c>
      <c r="R82" s="65" t="str">
        <f>IFERROR(__xludf.DUMMYFUNCTION("""COMPUTED_VALUE"""),"https://www.facebook.com/shahodat.yoldosheva")</f>
        <v>https://www.facebook.com/shahodat.yoldosheva</v>
      </c>
      <c r="S82" s="61" t="str">
        <f>IFERROR(__xludf.DUMMYFUNCTION("""COMPUTED_VALUE"""),"Internatsional_passport.pdf")</f>
        <v>Internatsional_passport.pdf</v>
      </c>
      <c r="T82" s="61" t="str">
        <f>IFERROR(__xludf.DUMMYFUNCTION("""COMPUTED_VALUE"""),"Photo.jpg")</f>
        <v>Photo.jpg</v>
      </c>
      <c r="U82" s="61" t="str">
        <f>IFERROR(__xludf.DUMMYFUNCTION("""COMPUTED_VALUE"""),"Higher education")</f>
        <v>Higher education</v>
      </c>
      <c r="V82" s="61" t="str">
        <f>IFERROR(__xludf.DUMMYFUNCTION("""COMPUTED_VALUE"""),"Bachelor's")</f>
        <v>Bachelor's</v>
      </c>
      <c r="W82" s="61" t="str">
        <f>IFERROR(__xludf.DUMMYFUNCTION("""COMPUTED_VALUE"""),"Translator and ELS teacher")</f>
        <v>Translator and ELS teacher</v>
      </c>
      <c r="X82" s="61" t="str">
        <f>IFERROR(__xludf.DUMMYFUNCTION("""COMPUTED_VALUE"""),"National University of Uzbekistan")</f>
        <v>National University of Uzbekistan</v>
      </c>
      <c r="Y82" s="61" t="str">
        <f>IFERROR(__xludf.DUMMYFUNCTION("""COMPUTED_VALUE"""),"No")</f>
        <v>No</v>
      </c>
      <c r="Z82" s="61" t="str">
        <f>IFERROR(__xludf.DUMMYFUNCTION("""COMPUTED_VALUE"""),"Uzbekistan")</f>
        <v>Uzbekistan</v>
      </c>
      <c r="AA82" s="61" t="str">
        <f>IFERROR(__xludf.DUMMYFUNCTION("""COMPUTED_VALUE"""),"No")</f>
        <v>No</v>
      </c>
      <c r="AB82" s="61"/>
      <c r="AC82" s="61" t="str">
        <f>IFERROR(__xludf.DUMMYFUNCTION("""COMPUTED_VALUE"""),"Yes, nowadays I am doing my Master's thesis.")</f>
        <v>Yes, nowadays I am doing my Master's thesis.</v>
      </c>
      <c r="AD82" s="61" t="str">
        <f>IFERROR(__xludf.DUMMYFUNCTION("""COMPUTED_VALUE"""),"The United Nations")</f>
        <v>The United Nations</v>
      </c>
      <c r="AE82" s="65" t="str">
        <f>IFERROR(__xludf.DUMMYFUNCTION("""COMPUTED_VALUE"""),"https://unvolunteers.exposure.co/disability-isnt-the-problem-the-barrier-is")</f>
        <v>https://unvolunteers.exposure.co/disability-isnt-the-problem-the-barrier-is</v>
      </c>
      <c r="AF82" s="61" t="str">
        <f>IFERROR(__xludf.DUMMYFUNCTION("""COMPUTED_VALUE"""),"Disability-Inclusive Communications and Outreach Specialist")</f>
        <v>Disability-Inclusive Communications and Outreach Specialist</v>
      </c>
      <c r="AG82" s="61" t="str">
        <f>IFERROR(__xludf.DUMMYFUNCTION("""COMPUTED_VALUE"""),"3 months")</f>
        <v>3 months</v>
      </c>
      <c r="AH82" s="61" t="str">
        <f>IFERROR(__xludf.DUMMYFUNCTION("""COMPUTED_VALUE"""),"No")</f>
        <v>No</v>
      </c>
      <c r="AI82" s="61"/>
      <c r="AJ82" s="61"/>
      <c r="AK82" s="61"/>
      <c r="AL82" s="61" t="str">
        <f>IFERROR(__xludf.DUMMYFUNCTION("""COMPUTED_VALUE"""),"A public speaker, a singer")</f>
        <v>A public speaker, a singer</v>
      </c>
      <c r="AM82" s="61" t="str">
        <f>IFERROR(__xludf.DUMMYFUNCTION("""COMPUTED_VALUE"""),"Shahodat_CV_Europass.pdf")</f>
        <v>Shahodat_CV_Europass.pdf</v>
      </c>
      <c r="AN82" s="61" t="str">
        <f>IFERROR(__xludf.DUMMYFUNCTION("""COMPUTED_VALUE"""),"I thought a lot about that and ended up with the concept of tiny good actions mentioned in the book called ""The Strength of the Weak "".
I believe that if we do a good job every day, changes will happen gradually from the ground up. On the above level, t"&amp;"he law and policies need to work.")</f>
        <v>I thought a lot about that and ended up with the concept of tiny good actions mentioned in the book called "The Strength of the Weak ".
I believe that if we do a good job every day, changes will happen gradually from the ground up. On the above level, the law and policies need to work.</v>
      </c>
      <c r="AO82" s="61" t="str">
        <f>IFERROR(__xludf.DUMMYFUNCTION("""COMPUTED_VALUE"""),"No countries are considered absolute diplomatic hegemons of the world and have a total role in international diplomacy. There are countries such as USA, China, Russia, EU, and so on with a huge effect, but they differ according to the scenario.")</f>
        <v>No countries are considered absolute diplomatic hegemons of the world and have a total role in international diplomacy. There are countries such as USA, China, Russia, EU, and so on with a huge effect, but they differ according to the scenario.</v>
      </c>
      <c r="AP82" s="61" t="str">
        <f>IFERROR(__xludf.DUMMYFUNCTION("""COMPUTED_VALUE"""),"The role of the youth is significant in diplomacy and public policy. As we are the younger generation, we may offer a new perspective on a certain issue. We have young energy and creativity, which are needed a lot in international diplomacy.  We need a he"&amp;"althy circulation of authority to develop culturally, economically, and socially.")</f>
        <v>The role of the youth is significant in diplomacy and public policy. As we are the younger generation, we may offer a new perspective on a certain issue. We have young energy and creativity, which are needed a lot in international diplomacy.  We need a healthy circulation of authority to develop culturally, economically, and socially.</v>
      </c>
      <c r="AQ82" s="61" t="str">
        <f>IFERROR(__xludf.DUMMYFUNCTION("""COMPUTED_VALUE"""),"For me, passion is a strong catalyst that gets energy from our internal state.
Passion gives us energy to deal with troubles and tolerate the pain while fighting for what we want.")</f>
        <v>For me, passion is a strong catalyst that gets energy from our internal state.
Passion gives us energy to deal with troubles and tolerate the pain while fighting for what we want.</v>
      </c>
      <c r="AR82" s="61" t="str">
        <f>IFERROR(__xludf.DUMMYFUNCTION("""COMPUTED_VALUE"""),"I would describe myself as an analytical and solution-oriented professional. I do not decide quickly or too creatively, preferring to observe comprehensively and consider multiple variations, offering solutions accordingly.")</f>
        <v>I would describe myself as an analytical and solution-oriented professional. I do not decide quickly or too creatively, preferring to observe comprehensively and consider multiple variations, offering solutions accordingly.</v>
      </c>
      <c r="AS82" s="61" t="str">
        <f>IFERROR(__xludf.DUMMYFUNCTION("""COMPUTED_VALUE"""),"Yes")</f>
        <v>Yes</v>
      </c>
      <c r="AT82" s="61" t="str">
        <f>IFERROR(__xludf.DUMMYFUNCTION("""COMPUTED_VALUE"""),"Yes")</f>
        <v>Yes</v>
      </c>
      <c r="AU82" s="61" t="str">
        <f>IFERROR(__xludf.DUMMYFUNCTION("""COMPUTED_VALUE"""),"Arts, Culture &amp; Soft Power")</f>
        <v>Arts, Culture &amp; Soft Power</v>
      </c>
      <c r="AV82" s="61" t="str">
        <f>IFERROR(__xludf.DUMMYFUNCTION("""COMPUTED_VALUE"""),"Scholarship portal")</f>
        <v>Scholarship portal</v>
      </c>
      <c r="AW82" s="61" t="str">
        <f>IFERROR(__xludf.DUMMYFUNCTION("""COMPUTED_VALUE"""),"Inclusive institutions' effect on sustainable development and peace")</f>
        <v>Inclusive institutions' effect on sustainable development and peace</v>
      </c>
      <c r="AX82" s="66" t="str">
        <f>IFERROR(__xludf.DUMMYFUNCTION("""COMPUTED_VALUE"""),"Yes")</f>
        <v>Yes</v>
      </c>
      <c r="AY82" s="66">
        <f>IFERROR(__xludf.DUMMYFUNCTION("""COMPUTED_VALUE"""),15.99)</f>
        <v>15.99</v>
      </c>
      <c r="AZ82" s="61"/>
      <c r="BA82" s="61"/>
      <c r="BB82" s="61"/>
      <c r="BC82" s="61"/>
      <c r="BD82" s="61"/>
      <c r="BE82" s="61"/>
      <c r="BF82" s="61"/>
      <c r="BG82" s="61"/>
      <c r="BH82" s="61"/>
      <c r="BI82" s="61"/>
      <c r="BJ82" s="61"/>
      <c r="BK82" s="61"/>
      <c r="BL82" s="61"/>
      <c r="BM82" s="61"/>
      <c r="BN82" s="61"/>
      <c r="BO82" s="61"/>
      <c r="BP82" s="61"/>
      <c r="BQ82" s="61"/>
      <c r="BR82" s="61"/>
    </row>
    <row r="83" ht="15.75" customHeight="1">
      <c r="A83" s="61" t="str">
        <f>IFERROR(__xludf.DUMMYFUNCTION("""COMPUTED_VALUE"""),"")</f>
        <v/>
      </c>
      <c r="B83" s="62">
        <f>IFERROR(__xludf.DUMMYFUNCTION("""COMPUTED_VALUE"""),101.0)</f>
        <v>101</v>
      </c>
      <c r="C83" s="61" t="str">
        <f>IFERROR(__xludf.DUMMYFUNCTION("""COMPUTED_VALUE"""),"Self")</f>
        <v>Self</v>
      </c>
      <c r="D83" s="63" t="str">
        <f>IFERROR(__xludf.DUMMYFUNCTION("""COMPUTED_VALUE"""),"Submitted")</f>
        <v>Submitted</v>
      </c>
      <c r="E83" s="63">
        <f>IFERROR(__xludf.DUMMYFUNCTION("""COMPUTED_VALUE"""),46206.33958333333)</f>
        <v>46206.33958</v>
      </c>
      <c r="F83" s="61" t="str">
        <f>IFERROR(__xludf.DUMMYFUNCTION("""COMPUTED_VALUE"""),"Meghan Hidayat")</f>
        <v>Meghan Hidayat</v>
      </c>
      <c r="G83" s="61" t="str">
        <f>IFERROR(__xludf.DUMMYFUNCTION("""COMPUTED_VALUE"""),"Meghan Lee Hidayat")</f>
        <v>Meghan Lee Hidayat</v>
      </c>
      <c r="H83" s="61" t="str">
        <f>IFERROR(__xludf.DUMMYFUNCTION("""COMPUTED_VALUE"""),"leemeghan07@gmail.com")</f>
        <v>leemeghan07@gmail.com</v>
      </c>
      <c r="I83" s="61" t="str">
        <f>IFERROR(__xludf.DUMMYFUNCTION("""COMPUTED_VALUE"""),"erwinbenz@hotmail.com")</f>
        <v>erwinbenz@hotmail.com</v>
      </c>
      <c r="J83" s="61"/>
      <c r="K83" s="61" t="str">
        <f>IFERROR(__xludf.DUMMYFUNCTION("""COMPUTED_VALUE"""),"Indonesian")</f>
        <v>Indonesian</v>
      </c>
      <c r="L83" s="64" t="str">
        <f>IFERROR(__xludf.DUMMYFUNCTION("""COMPUTED_VALUE"""),"081914569490")</f>
        <v>081914569490</v>
      </c>
      <c r="M83" s="64">
        <f>IFERROR(__xludf.DUMMYFUNCTION("""COMPUTED_VALUE"""),39196.0)</f>
        <v>39196</v>
      </c>
      <c r="N83" s="61" t="str">
        <f>IFERROR(__xludf.DUMMYFUNCTION("""COMPUTED_VALUE"""),"X1989087")</f>
        <v>X1989087</v>
      </c>
      <c r="O83" s="61" t="str">
        <f>IFERROR(__xludf.DUMMYFUNCTION("""COMPUTED_VALUE"""),"081333130199")</f>
        <v>081333130199</v>
      </c>
      <c r="P83" s="61"/>
      <c r="Q83" s="61"/>
      <c r="R83" s="61"/>
      <c r="S83" s="61" t="str">
        <f>IFERROR(__xludf.DUMMYFUNCTION("""COMPUTED_VALUE"""),"passport.png")</f>
        <v>passport.png</v>
      </c>
      <c r="T83" s="61" t="str">
        <f>IFERROR(__xludf.DUMMYFUNCTION("""COMPUTED_VALUE"""),"ID pic.jpg")</f>
        <v>ID pic.jpg</v>
      </c>
      <c r="U83" s="61" t="str">
        <f>IFERROR(__xludf.DUMMYFUNCTION("""COMPUTED_VALUE"""),"Bachelors")</f>
        <v>Bachelors</v>
      </c>
      <c r="V83" s="61" t="str">
        <f>IFERROR(__xludf.DUMMYFUNCTION("""COMPUTED_VALUE"""),"B.A.")</f>
        <v>B.A.</v>
      </c>
      <c r="W83" s="61" t="str">
        <f>IFERROR(__xludf.DUMMYFUNCTION("""COMPUTED_VALUE"""),"International Relations")</f>
        <v>International Relations</v>
      </c>
      <c r="X83" s="61" t="str">
        <f>IFERROR(__xludf.DUMMYFUNCTION("""COMPUTED_VALUE"""),"University of Southern California")</f>
        <v>University of Southern California</v>
      </c>
      <c r="Y83" s="61" t="str">
        <f>IFERROR(__xludf.DUMMYFUNCTION("""COMPUTED_VALUE"""),"Yes")</f>
        <v>Yes</v>
      </c>
      <c r="Z83" s="61" t="str">
        <f>IFERROR(__xludf.DUMMYFUNCTION("""COMPUTED_VALUE"""),"United States")</f>
        <v>United States</v>
      </c>
      <c r="AA83" s="61" t="str">
        <f>IFERROR(__xludf.DUMMYFUNCTION("""COMPUTED_VALUE"""),"No")</f>
        <v>No</v>
      </c>
      <c r="AB83" s="61" t="str">
        <f>IFERROR(__xludf.DUMMYFUNCTION("""COMPUTED_VALUE"""),"University of Southern California")</f>
        <v>University of Southern California</v>
      </c>
      <c r="AC83" s="61"/>
      <c r="AD83" s="61" t="str">
        <f>IFERROR(__xludf.DUMMYFUNCTION("""COMPUTED_VALUE"""),"Student Council")</f>
        <v>Student Council</v>
      </c>
      <c r="AE83" s="65" t="str">
        <f>IFERROR(__xludf.DUMMYFUNCTION("""COMPUTED_VALUE"""),"https://www.instagram.com/bss_sc/")</f>
        <v>https://www.instagram.com/bss_sc/</v>
      </c>
      <c r="AF83" s="61" t="str">
        <f>IFERROR(__xludf.DUMMYFUNCTION("""COMPUTED_VALUE"""),"President")</f>
        <v>President</v>
      </c>
      <c r="AG83" s="61" t="str">
        <f>IFERROR(__xludf.DUMMYFUNCTION("""COMPUTED_VALUE"""),"1")</f>
        <v>1</v>
      </c>
      <c r="AH83" s="61" t="str">
        <f>IFERROR(__xludf.DUMMYFUNCTION("""COMPUTED_VALUE"""),"No")</f>
        <v>No</v>
      </c>
      <c r="AI83" s="61"/>
      <c r="AJ83" s="61" t="str">
        <f>IFERROR(__xludf.DUMMYFUNCTION("""COMPUTED_VALUE"""),"Fill A Bucket")</f>
        <v>Fill A Bucket</v>
      </c>
      <c r="AK83" s="61" t="str">
        <f>IFERROR(__xludf.DUMMYFUNCTION("""COMPUTED_VALUE"""),"A youth-led nonprofit organization dedicated to expanding educational access by sharing knowledge and learning resources with children across Indonesia.")</f>
        <v>A youth-led nonprofit organization dedicated to expanding educational access by sharing knowledge and learning resources with children across Indonesia.</v>
      </c>
      <c r="AL83" s="61" t="str">
        <f>IFERROR(__xludf.DUMMYFUNCTION("""COMPUTED_VALUE"""),"Leadership, Global Engagement, Communication")</f>
        <v>Leadership, Global Engagement, Communication</v>
      </c>
      <c r="AM83" s="61" t="str">
        <f>IFERROR(__xludf.DUMMYFUNCTION("""COMPUTED_VALUE"""),"MEGHAN HIDAYAT-RESUME 2026.pdf")</f>
        <v>MEGHAN HIDAYAT-RESUME 2026.pdf</v>
      </c>
      <c r="AN83" s="61" t="str">
        <f>IFERROR(__xludf.DUMMYFUNCTION("""COMPUTED_VALUE"""),"I've always dreamed of changing the world, but I've learned that real change starts with making a tangible impact in the communities around us. Growing up, I saw how my grandmother's restaurant brought people together, teaching me that food is more than n"&amp;"ourishment—it builds connection. Inspired by her example, I mentored younger students and began developing an initiative to reduce food insecurity and promote sustainable food systems. Through studying international relations and pursuing public service, "&amp;"I hope to create policies and programs that expand access to affordable, nutritious food while empowering communities, especially young people, to create lasting change.")</f>
        <v>I've always dreamed of changing the world, but I've learned that real change starts with making a tangible impact in the communities around us. Growing up, I saw how my grandmother's restaurant brought people together, teaching me that food is more than nourishment—it builds connection. Inspired by her example, I mentored younger students and began developing an initiative to reduce food insecurity and promote sustainable food systems. Through studying international relations and pursuing public service, I hope to create policies and programs that expand access to affordable, nutritious food while empowering communities, especially young people, to create lasting change.</v>
      </c>
      <c r="AO83" s="61" t="str">
        <f>IFERROR(__xludf.DUMMYFUNCTION("""COMPUTED_VALUE"""),"I believe the United States remains one of the world's most diplomatically significant countries because studying here has broadened my perspective and deepened my understanding of global affairs. As a founding member of the United Nations and a leader in"&amp;" many multilateral institutions, the U.S. has helped shape international cooperation on issues ranging from climate change and food security to trade and economic development. However, no nation can solve global challenges alone. Effective diplomacy requi"&amp;"res collaboration, mutual respect, and dialogue. I hope to strengthen those partnerships through policies that create sustainable, inclusive solutions for communities worldwide.")</f>
        <v>I believe the United States remains one of the world's most diplomatically significant countries because studying here has broadened my perspective and deepened my understanding of global affairs. As a founding member of the United Nations and a leader in many multilateral institutions, the U.S. has helped shape international cooperation on issues ranging from climate change and food security to trade and economic development. However, no nation can solve global challenges alone. Effective diplomacy requires collaboration, mutual respect, and dialogue. I hope to strengthen those partnerships through policies that create sustainable, inclusive solutions for communities worldwide.</v>
      </c>
      <c r="AP83" s="61" t="str">
        <f>IFERROR(__xludf.DUMMYFUNCTION("""COMPUTED_VALUE"""),"Youth play a vital role in diplomacy because we bring fresh perspectives, adaptability, and innovative approaches to global challenges. In an era shaped by technology and artificial intelligence, young people are not only future leaders but also active pa"&amp;"rticipants in shaping international dialogue through advocacy, innovation, and cross-cultural collaboration.
To me, public diplomacy is about building trust and mutual understanding among people, not just governments. While traditional diplomacy focuses "&amp;"on government-to-government negotiations, public diplomacy strengthens relationships through communication, education, cultural exchange, and people-to-people connections. Studying abroad has shown me how meaningful conversations across cultures can chall"&amp;"enge stereotypes and foster lasting relationships.
I also believe food has a unique place in public diplomacy. Often, a country's cuisine is someone's first introduction to its culture, values, and traditions. When shared thoughtfully, food becomes a pow"&amp;"erful bridge between people. As political scientist Joseph Nye's concept of ""soft power"" suggests, influence is not achieved through force alone, but through attraction and shared experiences. I believe food embodies that idea by creating connections th"&amp;"at reach beyond policy and resonate with people on a personal level.")</f>
        <v>Youth play a vital role in diplomacy because we bring fresh perspectives, adaptability, and innovative approaches to global challenges. In an era shaped by technology and artificial intelligence, young people are not only future leaders but also active participants in shaping international dialogue through advocacy, innovation, and cross-cultural collaboration.
To me, public diplomacy is about building trust and mutual understanding among people, not just governments. While traditional diplomacy focuses on government-to-government negotiations, public diplomacy strengthens relationships through communication, education, cultural exchange, and people-to-people connections. Studying abroad has shown me how meaningful conversations across cultures can challenge stereotypes and foster lasting relationships.
I also believe food has a unique place in public diplomacy. Often, a country's cuisine is someone's first introduction to its culture, values, and traditions. When shared thoughtfully, food becomes a powerful bridge between people. As political scientist Joseph Nye's concept of "soft power" suggests, influence is not achieved through force alone, but through attraction and shared experiences. I believe food embodies that idea by creating connections that reach beyond policy and resonate with people on a personal level.</v>
      </c>
      <c r="AQ83" s="61" t="str">
        <f>IFERROR(__xludf.DUMMYFUNCTION("""COMPUTED_VALUE"""),"To me, passion is the driver of everything. It is more than a thought or an action; it is the commitment to keep pursuing a purpose even when the path is uncertain. Passion acts as a compass, giving direction to my curiosity and motivating me to continue "&amp;"learning, growing, and serving others.
Without passion, life feels like walking without a compass—movement without clear direction or meaning. Passion is what transforms effort into meaningful action; without it, work can become mechanical and disconnect"&amp;"ed from purpose. With passion, however, we engage fully and give our best because we are genuinely invested in what we are pursuing.
My passion lies at the intersection of international relations and food security within global food systems. It inspires "&amp;"me to explore how diplomacy can address food insecurity and broader challenges like climate change. Ultimately, passion pushes me to embrace new perspectives and develop the skills needed to create meaningful and lasting impact in my community and beyond.")</f>
        <v>To me, passion is the driver of everything. It is more than a thought or an action; it is the commitment to keep pursuing a purpose even when the path is uncertain. Passion acts as a compass, giving direction to my curiosity and motivating me to continue learning, growing, and serving others.
Without passion, life feels like walking without a compass—movement without clear direction or meaning. Passion is what transforms effort into meaningful action; without it, work can become mechanical and disconnected from purpose. With passion, however, we engage fully and give our best because we are genuinely invested in what we are pursuing.
My passion lies at the intersection of international relations and food security within global food systems. It inspires me to explore how diplomacy can address food insecurity and broader challenges like climate change. Ultimately, passion pushes me to embrace new perspectives and develop the skills needed to create meaningful and lasting impact in my community and beyond.</v>
      </c>
      <c r="AR83" s="61" t="str">
        <f>IFERROR(__xludf.DUMMYFUNCTION("""COMPUTED_VALUE"""),"I would describe myself as a creative person because I approach public diplomacy from a different lens, especially through food. To me, diplomacy is not limited to formal negotiations between governments, but also includes the everyday ways people connect"&amp;" and understand each other across cultures.
I see food as one of the most accessible forms of cultural exchange. One way I think creativity can strengthen public diplomacy is by combining food with storytelling. While taste may draw people in, stories ar"&amp;"e what create understanding. When countries share their cuisine, they should also share what stands behind it—the traditions, history, and people behind each dish. This can be done through cultural events, menus, social media, and digital storytelling. Wh"&amp;"en people understand the meaning behind what they are experiencing, food becomes more than something to consume; it becomes a connection.
In today’s media environment, food content is everywhere, but it often focuses more on aesthetics than authenticity."&amp;" I believe there is value in shifting the focus toward the cultural context and lived experiences behind what we eat.
Through gastrodiplomacy, food becomes a bridge between nations. It fosters familiarity, reduces stereotypes, and builds mutual understan"&amp;"ding in a way that feels human, personal, and lasting.")</f>
        <v>I would describe myself as a creative person because I approach public diplomacy from a different lens, especially through food. To me, diplomacy is not limited to formal negotiations between governments, but also includes the everyday ways people connect and understand each other across cultures.
I see food as one of the most accessible forms of cultural exchange. One way I think creativity can strengthen public diplomacy is by combining food with storytelling. While taste may draw people in, stories are what create understanding. When countries share their cuisine, they should also share what stands behind it—the traditions, history, and people behind each dish. This can be done through cultural events, menus, social media, and digital storytelling. When people understand the meaning behind what they are experiencing, food becomes more than something to consume; it becomes a connection.
In today’s media environment, food content is everywhere, but it often focuses more on aesthetics than authenticity. I believe there is value in shifting the focus toward the cultural context and lived experiences behind what we eat.
Through gastrodiplomacy, food becomes a bridge between nations. It fosters familiarity, reduces stereotypes, and builds mutual understanding in a way that feels human, personal, and lasting.</v>
      </c>
      <c r="AS83" s="61" t="str">
        <f>IFERROR(__xludf.DUMMYFUNCTION("""COMPUTED_VALUE"""),"Yes")</f>
        <v>Yes</v>
      </c>
      <c r="AT83" s="61" t="str">
        <f>IFERROR(__xludf.DUMMYFUNCTION("""COMPUTED_VALUE"""),"Yes")</f>
        <v>Yes</v>
      </c>
      <c r="AU83" s="61" t="str">
        <f>IFERROR(__xludf.DUMMYFUNCTION("""COMPUTED_VALUE"""),"Arts, Culture &amp; Soft Power")</f>
        <v>Arts, Culture &amp; Soft Power</v>
      </c>
      <c r="AV83" s="61" t="str">
        <f>IFERROR(__xludf.DUMMYFUNCTION("""COMPUTED_VALUE"""),"Instagram")</f>
        <v>Instagram</v>
      </c>
      <c r="AW83" s="61"/>
      <c r="AX83" s="66" t="str">
        <f>IFERROR(__xludf.DUMMYFUNCTION("""COMPUTED_VALUE"""),"Yes")</f>
        <v>Yes</v>
      </c>
      <c r="AY83" s="66">
        <f>IFERROR(__xludf.DUMMYFUNCTION("""COMPUTED_VALUE"""),15.99)</f>
        <v>15.99</v>
      </c>
      <c r="AZ83" s="61"/>
      <c r="BA83" s="61"/>
      <c r="BB83" s="61"/>
      <c r="BC83" s="61"/>
      <c r="BD83" s="61"/>
      <c r="BE83" s="61"/>
      <c r="BF83" s="61"/>
      <c r="BG83" s="61"/>
      <c r="BH83" s="61"/>
      <c r="BI83" s="61"/>
      <c r="BJ83" s="61"/>
      <c r="BK83" s="61"/>
      <c r="BL83" s="61"/>
      <c r="BM83" s="61"/>
      <c r="BN83" s="61"/>
      <c r="BO83" s="61"/>
      <c r="BP83" s="61"/>
      <c r="BQ83" s="61"/>
      <c r="BR83" s="61"/>
    </row>
    <row r="84" ht="15.75" customHeight="1">
      <c r="A84" s="61" t="str">
        <f>IFERROR(__xludf.DUMMYFUNCTION("""COMPUTED_VALUE"""),"Full/Partial")</f>
        <v>Full/Partial</v>
      </c>
      <c r="B84" s="62">
        <f>IFERROR(__xludf.DUMMYFUNCTION("""COMPUTED_VALUE"""),102.0)</f>
        <v>102</v>
      </c>
      <c r="C84" s="61" t="str">
        <f>IFERROR(__xludf.DUMMYFUNCTION("""COMPUTED_VALUE"""),"Partial")</f>
        <v>Partial</v>
      </c>
      <c r="D84" s="63" t="str">
        <f>IFERROR(__xludf.DUMMYFUNCTION("""COMPUTED_VALUE"""),"Submitted")</f>
        <v>Submitted</v>
      </c>
      <c r="E84" s="63">
        <f>IFERROR(__xludf.DUMMYFUNCTION("""COMPUTED_VALUE"""),46206.47708333333)</f>
        <v>46206.47708</v>
      </c>
      <c r="F84" s="61" t="str">
        <f>IFERROR(__xludf.DUMMYFUNCTION("""COMPUTED_VALUE"""),"Parviz Sami")</f>
        <v>Parviz Sami</v>
      </c>
      <c r="G84" s="61" t="str">
        <f>IFERROR(__xludf.DUMMYFUNCTION("""COMPUTED_VALUE"""),"Parviz Sami")</f>
        <v>Parviz Sami</v>
      </c>
      <c r="H84" s="61" t="str">
        <f>IFERROR(__xludf.DUMMYFUNCTION("""COMPUTED_VALUE"""),"samievparviz@gmail.com")</f>
        <v>samievparviz@gmail.com</v>
      </c>
      <c r="I84" s="61" t="str">
        <f>IFERROR(__xludf.DUMMYFUNCTION("""COMPUTED_VALUE"""),"davlatovanigora@gmail.com")</f>
        <v>davlatovanigora@gmail.com</v>
      </c>
      <c r="J84" s="61" t="str">
        <f>IFERROR(__xludf.DUMMYFUNCTION("""COMPUTED_VALUE"""),"Firdavsi 29/1, apartment 21, Firdavsi district, Dushanbe, Tajikistan, Dushanbe, Tajikistan")</f>
        <v>Firdavsi 29/1, apartment 21, Firdavsi district, Dushanbe, Tajikistan, Dushanbe, Tajikistan</v>
      </c>
      <c r="K84" s="61" t="str">
        <f>IFERROR(__xludf.DUMMYFUNCTION("""COMPUTED_VALUE"""),"Tajik")</f>
        <v>Tajik</v>
      </c>
      <c r="L84" s="64" t="str">
        <f>IFERROR(__xludf.DUMMYFUNCTION("""COMPUTED_VALUE"""),"+992750878008")</f>
        <v>+992750878008</v>
      </c>
      <c r="M84" s="64">
        <f>IFERROR(__xludf.DUMMYFUNCTION("""COMPUTED_VALUE"""),31538.0)</f>
        <v>31538</v>
      </c>
      <c r="N84" s="61" t="str">
        <f>IFERROR(__xludf.DUMMYFUNCTION("""COMPUTED_VALUE"""),"401710257")</f>
        <v>401710257</v>
      </c>
      <c r="O84" s="61" t="str">
        <f>IFERROR(__xludf.DUMMYFUNCTION("""COMPUTED_VALUE"""),"+992985600555")</f>
        <v>+992985600555</v>
      </c>
      <c r="P84" s="61" t="str">
        <f>IFERROR(__xludf.DUMMYFUNCTION("""COMPUTED_VALUE"""),"Parviz Sami")</f>
        <v>Parviz Sami</v>
      </c>
      <c r="Q84" s="61" t="str">
        <f>IFERROR(__xludf.DUMMYFUNCTION("""COMPUTED_VALUE"""),"parv1zsami")</f>
        <v>parv1zsami</v>
      </c>
      <c r="R84" s="61" t="str">
        <f>IFERROR(__xludf.DUMMYFUNCTION("""COMPUTED_VALUE"""),"samievparviz")</f>
        <v>samievparviz</v>
      </c>
      <c r="S84" s="61" t="str">
        <f>IFERROR(__xludf.DUMMYFUNCTION("""COMPUTED_VALUE"""),"intl passport for Parviz Samiev.pdf")</f>
        <v>intl passport for Parviz Samiev.pdf</v>
      </c>
      <c r="T84" s="61" t="str">
        <f>IFERROR(__xludf.DUMMYFUNCTION("""COMPUTED_VALUE"""),"photo Sami P..JPG")</f>
        <v>photo Sami P..JPG</v>
      </c>
      <c r="U84" s="61" t="str">
        <f>IFERROR(__xludf.DUMMYFUNCTION("""COMPUTED_VALUE"""),"Bachelor")</f>
        <v>Bachelor</v>
      </c>
      <c r="V84" s="61" t="str">
        <f>IFERROR(__xludf.DUMMYFUNCTION("""COMPUTED_VALUE"""),"Bachelor’s degree in Business Management")</f>
        <v>Bachelor’s degree in Business Management</v>
      </c>
      <c r="W84" s="61" t="str">
        <f>IFERROR(__xludf.DUMMYFUNCTION("""COMPUTED_VALUE"""),"Telecommunications and Informatics / International Communications")</f>
        <v>Telecommunications and Informatics / International Communications</v>
      </c>
      <c r="X84" s="61" t="str">
        <f>IFERROR(__xludf.DUMMYFUNCTION("""COMPUTED_VALUE"""),"Telkom University")</f>
        <v>Telkom University</v>
      </c>
      <c r="Y84" s="61" t="str">
        <f>IFERROR(__xludf.DUMMYFUNCTION("""COMPUTED_VALUE"""),"No")</f>
        <v>No</v>
      </c>
      <c r="Z84" s="61" t="str">
        <f>IFERROR(__xludf.DUMMYFUNCTION("""COMPUTED_VALUE"""),"Indoensia")</f>
        <v>Indoensia</v>
      </c>
      <c r="AA84" s="61" t="str">
        <f>IFERROR(__xludf.DUMMYFUNCTION("""COMPUTED_VALUE"""),"Yes")</f>
        <v>Yes</v>
      </c>
      <c r="AB84" s="61" t="str">
        <f>IFERROR(__xludf.DUMMYFUNCTION("""COMPUTED_VALUE"""),"Telkom University")</f>
        <v>Telkom University</v>
      </c>
      <c r="AC84" s="61"/>
      <c r="AD84" s="61" t="str">
        <f>IFERROR(__xludf.DUMMYFUNCTION("""COMPUTED_VALUE"""),"No")</f>
        <v>No</v>
      </c>
      <c r="AE84" s="61"/>
      <c r="AF84" s="61"/>
      <c r="AG84" s="61"/>
      <c r="AH84" s="61" t="str">
        <f>IFERROR(__xludf.DUMMYFUNCTION("""COMPUTED_VALUE"""),"Yes")</f>
        <v>Yes</v>
      </c>
      <c r="AI84" s="61" t="str">
        <f>IFERROR(__xludf.DUMMYFUNCTION("""COMPUTED_VALUE"""),"international affairs")</f>
        <v>international affairs</v>
      </c>
      <c r="AJ84" s="61" t="str">
        <f>IFERROR(__xludf.DUMMYFUNCTION("""COMPUTED_VALUE"""),"no")</f>
        <v>no</v>
      </c>
      <c r="AK84" s="61"/>
      <c r="AL84" s="61" t="str">
        <f>IFERROR(__xludf.DUMMYFUNCTION("""COMPUTED_VALUE"""),"Diplomat")</f>
        <v>Diplomat</v>
      </c>
      <c r="AM84" s="61" t="str">
        <f>IFERROR(__xludf.DUMMYFUNCTION("""COMPUTED_VALUE"""),"Sami_Parviz_YPDS_Jakarta_2026_CV.pdf")</f>
        <v>Sami_Parviz_YPDS_Jakarta_2026_CV.pdf</v>
      </c>
      <c r="AN84" s="61" t="str">
        <f>IFERROR(__xludf.DUMMYFUNCTION("""COMPUTED_VALUE"""),"Yes. Rather than waiting for large-scale change, I have tried to build it through my work as a career diplomat. Over 15 years at Tajikistan's Foreign Ministry, I have helped draft and negotiate more than 50 international agreements, represented my country"&amp;" at the Shanghai Cooperation Organisation, and coordinated cooperation with Southeast Asian and Asia-Pacific partners on trade, education and culture. On a personal level, I mentor junior colleagues entering diplomatic service, and I share the language sk"&amp;"ills and cross-cultural knowledge I gained from postings in China, Korea and Indonesia to help young Tajiks prepare confidently for their future international careers.")</f>
        <v>Yes. Rather than waiting for large-scale change, I have tried to build it through my work as a career diplomat. Over 15 years at Tajikistan's Foreign Ministry, I have helped draft and negotiate more than 50 international agreements, represented my country at the Shanghai Cooperation Organisation, and coordinated cooperation with Southeast Asian and Asia-Pacific partners on trade, education and culture. On a personal level, I mentor junior colleagues entering diplomatic service, and I share the language skills and cross-cultural knowledge I gained from postings in China, Korea and Indonesia to help young Tajiks prepare confidently for their future international careers.</v>
      </c>
      <c r="AO84" s="61" t="str">
        <f>IFERROR(__xludf.DUMMYFUNCTION("""COMPUTED_VALUE"""),"I would point to China. Its economic weight, Belt and Road connectivity, and central role in frameworks such as the Shanghai Cooperation Organisation make it a pivotal actor shaping Eurasian trade, security and infrastructure. Having served as Second Secr"&amp;"etary at Tajikistan's Embassy in Beijing, I saw firsthand how China's growing engagement with Central Asia influences regional stability, investment flows and multilateral cooperation. Its evolving relationships with major powers and developing states ali"&amp;"ke give it outsized leverage in shaping global governance today. For a country like Tajikistan, understanding China's diplomatic posture remains essential to navigating our own regional and international priorities.")</f>
        <v>I would point to China. Its economic weight, Belt and Road connectivity, and central role in frameworks such as the Shanghai Cooperation Organisation make it a pivotal actor shaping Eurasian trade, security and infrastructure. Having served as Second Secretary at Tajikistan's Embassy in Beijing, I saw firsthand how China's growing engagement with Central Asia influences regional stability, investment flows and multilateral cooperation. Its evolving relationships with major powers and developing states alike give it outsized leverage in shaping global governance today. For a country like Tajikistan, understanding China's diplomatic posture remains essential to navigating our own regional and international priorities.</v>
      </c>
      <c r="AP84" s="61" t="str">
        <f>IFERROR(__xludf.DUMMYFUNCTION("""COMPUTED_VALUE"""),"Youth play an increasingly central role in modern diplomacy. Young diplomats bring fresh perspectives, digital fluency and comfort with cross-cultural exchange at a moment when global challenges demand faster, more collaborative responses. They often serv"&amp;"e as important bridges between traditional state-to-state channels and the informal networks, technology platforms and civil-society actors that increasingly shape international relations today. In my own career, working across China, the Republic of Kore"&amp;"a, Indonesia and Southeast Asia, I have seen how younger officials help modernize diplomatic practice while still respecting institutional experience, hierarchy and established protocol.
Public diplomacy, to me, is the human face of foreign policy: engagi"&amp;"ng not only governments but societies, students, businesses and communities to build understanding and mutual trust. I relate to it through my work coordinating training and technical-cooperation programmes, mentoring junior colleagues entering the foreig"&amp;"n service, and drawing on the languages and cultural knowledge I gained overseas to make Tajikistan's positions more accessible and relatable to foreign audiences. I see public diplomacy as a genuine, patient, long-term investment: relationships built thr"&amp;"ough education exchanges, cultural cooperation and authentic people-to-people contact often prove more durable than formal agreements alone, and I try to reflect that outlook in my daily diplomatic work.")</f>
        <v>Youth play an increasingly central role in modern diplomacy. Young diplomats bring fresh perspectives, digital fluency and comfort with cross-cultural exchange at a moment when global challenges demand faster, more collaborative responses. They often serve as important bridges between traditional state-to-state channels and the informal networks, technology platforms and civil-society actors that increasingly shape international relations today. In my own career, working across China, the Republic of Korea, Indonesia and Southeast Asia, I have seen how younger officials help modernize diplomatic practice while still respecting institutional experience, hierarchy and established protocol.
Public diplomacy, to me, is the human face of foreign policy: engaging not only governments but societies, students, businesses and communities to build understanding and mutual trust. I relate to it through my work coordinating training and technical-cooperation programmes, mentoring junior colleagues entering the foreign service, and drawing on the languages and cultural knowledge I gained overseas to make Tajikistan's positions more accessible and relatable to foreign audiences. I see public diplomacy as a genuine, patient, long-term investment: relationships built through education exchanges, cultural cooperation and authentic people-to-people contact often prove more durable than formal agreements alone, and I try to reflect that outlook in my daily diplomatic work.</v>
      </c>
      <c r="AQ84" s="61" t="str">
        <f>IFERROR(__xludf.DUMMYFUNCTION("""COMPUTED_VALUE"""),"To me, passion is the sustained energy that keeps you engaged with a goal long after the initial excitement fades. It is not a single burst of enthusiasm but a steady, quiet commitment that shows up in daily discipline, especially on the routine, less gla"&amp;"morous days.
My passion for diplomacy and international law has shaped nearly every major choice in my career: studying law and international communications, learning Russian, English and Chinese, and choosing overseas postings in China, Korea and Indones"&amp;"ia rather than staying within my comfort zone. That same drive kept me focused through many years of treaty drafting and negotiation work that rarely brings quick recognition.
Passion helps me achieve goals because it turns obstacles into problems worth s"&amp;"olving rather than reasons to stop. It also makes the work sustainable, since genuine interest, not obligation alone, carries me through demanding periods and keeps me continually learning and improving.")</f>
        <v>To me, passion is the sustained energy that keeps you engaged with a goal long after the initial excitement fades. It is not a single burst of enthusiasm but a steady, quiet commitment that shows up in daily discipline, especially on the routine, less glamorous days.
My passion for diplomacy and international law has shaped nearly every major choice in my career: studying law and international communications, learning Russian, English and Chinese, and choosing overseas postings in China, Korea and Indonesia rather than staying within my comfort zone. That same drive kept me focused through many years of treaty drafting and negotiation work that rarely brings quick recognition.
Passion helps me achieve goals because it turns obstacles into problems worth solving rather than reasons to stop. It also makes the work sustainable, since genuine interest, not obligation alone, carries me through demanding periods and keeps me continually learning and improving.</v>
      </c>
      <c r="AR84" s="61" t="str">
        <f>IFERROR(__xludf.DUMMYFUNCTION("""COMPUTED_VALUE"""),"Yes, I consider myself a creative person, though my creativity shows up less in artistic terms and more in how I connect ideas, cultures and people. Years working across China, Korea and Indonesia taught me to look for unconventional entry points into rel"&amp;"ationships, whether through shared language, cultural references or informal exchanges that formal negotiations do not usually allow.
I try to channel that creativity into public diplomacy by treating it as storytelling rather than messaging. Instead of r"&amp;"elying only on official statements, I look for formats that make Tajikistan's culture, history and priorities genuinely accessible: multilingual content, engaging visual materials, and cultural or educational exchange programmes that let foreign audiences"&amp;" experience the country rather than simply read about it. My background in design tools, digital platforms and AI-supported content preparation helps me produce these materials efficiently and adapt them to different audiences, from students to business c"&amp;"ommunities.
An effective public diplomacy strategy, in my view, combines consistent core messaging with creative, locally tailored delivery, using digital channels, people-to-people programmes and cultural diplomacy to build lasting relationships rather t"&amp;"han one-off impressions. Applied this way, creativity turns public diplomacy from a formality into a genuine, durable and human bridge between societies.")</f>
        <v>Yes, I consider myself a creative person, though my creativity shows up less in artistic terms and more in how I connect ideas, cultures and people. Years working across China, Korea and Indonesia taught me to look for unconventional entry points into relationships, whether through shared language, cultural references or informal exchanges that formal negotiations do not usually allow.
I try to channel that creativity into public diplomacy by treating it as storytelling rather than messaging. Instead of relying only on official statements, I look for formats that make Tajikistan's culture, history and priorities genuinely accessible: multilingual content, engaging visual materials, and cultural or educational exchange programmes that let foreign audiences experience the country rather than simply read about it. My background in design tools, digital platforms and AI-supported content preparation helps me produce these materials efficiently and adapt them to different audiences, from students to business communities.
An effective public diplomacy strategy, in my view, combines consistent core messaging with creative, locally tailored delivery, using digital channels, people-to-people programmes and cultural diplomacy to build lasting relationships rather than one-off impressions. Applied this way, creativity turns public diplomacy from a formality into a genuine, durable and human bridge between societies.</v>
      </c>
      <c r="AS84" s="61" t="str">
        <f>IFERROR(__xludf.DUMMYFUNCTION("""COMPUTED_VALUE"""),"No")</f>
        <v>No</v>
      </c>
      <c r="AT84" s="61" t="str">
        <f>IFERROR(__xludf.DUMMYFUNCTION("""COMPUTED_VALUE"""),"Yes")</f>
        <v>Yes</v>
      </c>
      <c r="AU84" s="61" t="str">
        <f>IFERROR(__xludf.DUMMYFUNCTION("""COMPUTED_VALUE"""),"Global Politics, Diplomacy &amp; Identities")</f>
        <v>Global Politics, Diplomacy &amp; Identities</v>
      </c>
      <c r="AV84" s="61" t="str">
        <f>IFERROR(__xludf.DUMMYFUNCTION("""COMPUTED_VALUE"""),"Scholorships portal")</f>
        <v>Scholorships portal</v>
      </c>
      <c r="AW84" s="61" t="str">
        <f>IFERROR(__xludf.DUMMYFUNCTION("""COMPUTED_VALUE"""),"Strategic Communication")</f>
        <v>Strategic Communication</v>
      </c>
      <c r="AX84" s="66" t="str">
        <f>IFERROR(__xludf.DUMMYFUNCTION("""COMPUTED_VALUE"""),"Yes")</f>
        <v>Yes</v>
      </c>
      <c r="AY84" s="66">
        <f>IFERROR(__xludf.DUMMYFUNCTION("""COMPUTED_VALUE"""),15.99)</f>
        <v>15.99</v>
      </c>
      <c r="AZ84" s="61"/>
      <c r="BA84" s="61"/>
      <c r="BB84" s="61"/>
      <c r="BC84" s="61"/>
      <c r="BD84" s="61"/>
      <c r="BE84" s="61"/>
      <c r="BF84" s="61"/>
      <c r="BG84" s="61"/>
      <c r="BH84" s="61"/>
      <c r="BI84" s="61"/>
      <c r="BJ84" s="61"/>
      <c r="BK84" s="61"/>
      <c r="BL84" s="61"/>
      <c r="BM84" s="61"/>
      <c r="BN84" s="61"/>
      <c r="BO84" s="61"/>
      <c r="BP84" s="61"/>
      <c r="BQ84" s="61"/>
      <c r="BR84" s="61"/>
    </row>
    <row r="85" ht="15.75" customHeight="1">
      <c r="A85" s="61" t="str">
        <f>IFERROR(__xludf.DUMMYFUNCTION("""COMPUTED_VALUE"""),"Partial")</f>
        <v>Partial</v>
      </c>
      <c r="B85" s="62">
        <f>IFERROR(__xludf.DUMMYFUNCTION("""COMPUTED_VALUE"""),103.0)</f>
        <v>103</v>
      </c>
      <c r="C85" s="61" t="str">
        <f>IFERROR(__xludf.DUMMYFUNCTION("""COMPUTED_VALUE"""),"Partial")</f>
        <v>Partial</v>
      </c>
      <c r="D85" s="63" t="str">
        <f>IFERROR(__xludf.DUMMYFUNCTION("""COMPUTED_VALUE"""),"Submitted")</f>
        <v>Submitted</v>
      </c>
      <c r="E85" s="63">
        <f>IFERROR(__xludf.DUMMYFUNCTION("""COMPUTED_VALUE"""),46206.61805555555)</f>
        <v>46206.61806</v>
      </c>
      <c r="F85" s="61" t="str">
        <f>IFERROR(__xludf.DUMMYFUNCTION("""COMPUTED_VALUE"""),"Shehzeen Bakhsh Malik")</f>
        <v>Shehzeen Bakhsh Malik</v>
      </c>
      <c r="G85" s="61" t="str">
        <f>IFERROR(__xludf.DUMMYFUNCTION("""COMPUTED_VALUE"""),"Shehzeen Bakhsh Malik")</f>
        <v>Shehzeen Bakhsh Malik</v>
      </c>
      <c r="H85" s="61" t="str">
        <f>IFERROR(__xludf.DUMMYFUNCTION("""COMPUTED_VALUE"""),"shehzeen.bakhsh@gmail.com")</f>
        <v>shehzeen.bakhsh@gmail.com</v>
      </c>
      <c r="I85" s="61" t="str">
        <f>IFERROR(__xludf.DUMMYFUNCTION("""COMPUTED_VALUE"""),"shazymalik14@gmail.com")</f>
        <v>shazymalik14@gmail.com</v>
      </c>
      <c r="J85" s="61" t="str">
        <f>IFERROR(__xludf.DUMMYFUNCTION("""COMPUTED_VALUE"""),"House 995, Street 43, E-11/3, Islamabad, Islamabad, Pakistan")</f>
        <v>House 995, Street 43, E-11/3, Islamabad, Islamabad, Pakistan</v>
      </c>
      <c r="K85" s="61" t="str">
        <f>IFERROR(__xludf.DUMMYFUNCTION("""COMPUTED_VALUE"""),"Pakistani")</f>
        <v>Pakistani</v>
      </c>
      <c r="L85" s="64" t="str">
        <f>IFERROR(__xludf.DUMMYFUNCTION("""COMPUTED_VALUE"""),"+923335688992")</f>
        <v>+923335688992</v>
      </c>
      <c r="M85" s="64">
        <f>IFERROR(__xludf.DUMMYFUNCTION("""COMPUTED_VALUE"""),34164.0)</f>
        <v>34164</v>
      </c>
      <c r="N85" s="61" t="str">
        <f>IFERROR(__xludf.DUMMYFUNCTION("""COMPUTED_VALUE"""),"EP0769002")</f>
        <v>EP0769002</v>
      </c>
      <c r="O85" s="61" t="str">
        <f>IFERROR(__xludf.DUMMYFUNCTION("""COMPUTED_VALUE"""),"+923215300696")</f>
        <v>+923215300696</v>
      </c>
      <c r="P85" s="65" t="str">
        <f>IFERROR(__xludf.DUMMYFUNCTION("""COMPUTED_VALUE"""),"https://www.linkedin.com/in/shehzeen-bakhsh-malik-419b46129?utm_source=share_via&amp;utm_content=profile&amp;utm_medium=member_ios")</f>
        <v>https://www.linkedin.com/in/shehzeen-bakhsh-malik-419b46129?utm_source=share_via&amp;utm_content=profile&amp;utm_medium=member_ios</v>
      </c>
      <c r="Q85" s="65" t="str">
        <f>IFERROR(__xludf.DUMMYFUNCTION("""COMPUTED_VALUE"""),"https://www.facebook.com/share/192iSjhhLq/?mibextid=wwXIfr")</f>
        <v>https://www.facebook.com/share/192iSjhhLq/?mibextid=wwXIfr</v>
      </c>
      <c r="R85" s="65" t="str">
        <f>IFERROR(__xludf.DUMMYFUNCTION("""COMPUTED_VALUE"""),"https://www.facebook.com/share/192iSjhhLq/?mibextid=wwXIfr")</f>
        <v>https://www.facebook.com/share/192iSjhhLq/?mibextid=wwXIfr</v>
      </c>
      <c r="S85" s="61" t="str">
        <f>IFERROR(__xludf.DUMMYFUNCTION("""COMPUTED_VALUE"""),"003.jpg, 004.jpg")</f>
        <v>003.jpg, 004.jpg</v>
      </c>
      <c r="T85" s="61" t="str">
        <f>IFERROR(__xludf.DUMMYFUNCTION("""COMPUTED_VALUE"""),"Shehzeen Picture.jpeg")</f>
        <v>Shehzeen Picture.jpeg</v>
      </c>
      <c r="U85" s="61" t="str">
        <f>IFERROR(__xludf.DUMMYFUNCTION("""COMPUTED_VALUE"""),"MS Engineering Management")</f>
        <v>MS Engineering Management</v>
      </c>
      <c r="V85" s="61" t="str">
        <f>IFERROR(__xludf.DUMMYFUNCTION("""COMPUTED_VALUE"""),"Master of Science in Engineering Management")</f>
        <v>Master of Science in Engineering Management</v>
      </c>
      <c r="W85" s="61" t="str">
        <f>IFERROR(__xludf.DUMMYFUNCTION("""COMPUTED_VALUE"""),"Engineering Management")</f>
        <v>Engineering Management</v>
      </c>
      <c r="X85" s="61" t="str">
        <f>IFERROR(__xludf.DUMMYFUNCTION("""COMPUTED_VALUE"""),"Bahria University")</f>
        <v>Bahria University</v>
      </c>
      <c r="Y85" s="61" t="str">
        <f>IFERROR(__xludf.DUMMYFUNCTION("""COMPUTED_VALUE"""),"No")</f>
        <v>No</v>
      </c>
      <c r="Z85" s="61" t="str">
        <f>IFERROR(__xludf.DUMMYFUNCTION("""COMPUTED_VALUE"""),"Pakistan")</f>
        <v>Pakistan</v>
      </c>
      <c r="AA85" s="61" t="str">
        <f>IFERROR(__xludf.DUMMYFUNCTION("""COMPUTED_VALUE"""),"No")</f>
        <v>No</v>
      </c>
      <c r="AB85" s="61"/>
      <c r="AC85" s="61" t="str">
        <f>IFERROR(__xludf.DUMMYFUNCTION("""COMPUTED_VALUE"""),"Yes, I have completed by Thesis in MS on Massive Open Online Courses (MOOCs)")</f>
        <v>Yes, I have completed by Thesis in MS on Massive Open Online Courses (MOOCs)</v>
      </c>
      <c r="AD85" s="61" t="str">
        <f>IFERROR(__xludf.DUMMYFUNCTION("""COMPUTED_VALUE"""),"No")</f>
        <v>No</v>
      </c>
      <c r="AE85" s="61"/>
      <c r="AF85" s="61"/>
      <c r="AG85" s="61"/>
      <c r="AH85" s="61" t="str">
        <f>IFERROR(__xludf.DUMMYFUNCTION("""COMPUTED_VALUE"""),"Yes")</f>
        <v>Yes</v>
      </c>
      <c r="AI85" s="61" t="str">
        <f>IFERROR(__xludf.DUMMYFUNCTION("""COMPUTED_VALUE"""),"Project Management")</f>
        <v>Project Management</v>
      </c>
      <c r="AJ85" s="61" t="str">
        <f>IFERROR(__xludf.DUMMYFUNCTION("""COMPUTED_VALUE"""),"Not yet")</f>
        <v>Not yet</v>
      </c>
      <c r="AK85" s="61"/>
      <c r="AL85" s="61" t="str">
        <f>IFERROR(__xludf.DUMMYFUNCTION("""COMPUTED_VALUE"""),"Facilitated and moderated multiple technical training programs. My skill set includes stakeholder coordination, communication, networking, project management, and technical analysis, supported by a strong technical understanding and the ability to work ef"&amp;"fectively across multidisciplinary teams.")</f>
        <v>Facilitated and moderated multiple technical training programs. My skill set includes stakeholder coordination, communication, networking, project management, and technical analysis, supported by a strong technical understanding and the ability to work effectively across multidisciplinary teams.</v>
      </c>
      <c r="AM85" s="61" t="str">
        <f>IFERROR(__xludf.DUMMYFUNCTION("""COMPUTED_VALUE"""),"Shehzeen Bakhsh CV v6.pdf")</f>
        <v>Shehzeen Bakhsh CV v6.pdf</v>
      </c>
      <c r="AN85" s="61" t="str">
        <f>IFERROR(__xludf.DUMMYFUNCTION("""COMPUTED_VALUE"""),"Yes, but I stopped waiting for the ""right moment"" to change the world when I realized change starts smaller. In my personal capacity, I have organized food drives during Ramadan for underprivileged families, tutored children in my neighborhood who could"&amp;"n't afford academic support, and used my professional platform to advocate for equal access to education and technology. I believe peace begins with dignity when people have food, education, and basic rights, conflict loses its fuel. My contribution may b"&amp;"e a drop, but I've learned that consistent drops carve stone. Change, for me, is a daily practice.")</f>
        <v>Yes, but I stopped waiting for the "right moment" to change the world when I realized change starts smaller. In my personal capacity, I have organized food drives during Ramadan for underprivileged families, tutored children in my neighborhood who couldn't afford academic support, and used my professional platform to advocate for equal access to education and technology. I believe peace begins with dignity when people have food, education, and basic rights, conflict loses its fuel. My contribution may be a drop, but I've learned that consistent drops carve stone. Change, for me, is a daily practice.</v>
      </c>
      <c r="AO85" s="61" t="str">
        <f>IFERROR(__xludf.DUMMYFUNCTION("""COMPUTED_VALUE"""),"I believe Pakistan is one of the most diplomatically significant countries in the world today. Positioned at the junction of South Asia, Central Asia, and the Middle East, it has repeatedly served as a bridge where others saw only divides. Pakistan helped"&amp;" ease tensions in the Middle East by mediating between Iran and America, facilitated the historic US-China opening in the 1970s, and played a central role in the Afghan peace process. As one of the largest contributors to UN peacekeeping, Pakistan proves "&amp;"that diplomatic relevance comes from geography, courage, and the willingness to host difficult conversations.")</f>
        <v>I believe Pakistan is one of the most diplomatically significant countries in the world today. Positioned at the junction of South Asia, Central Asia, and the Middle East, it has repeatedly served as a bridge where others saw only divides. Pakistan helped ease tensions in the Middle East by mediating between Iran and America, facilitated the historic US-China opening in the 1970s, and played a central role in the Afghan peace process. As one of the largest contributors to UN peacekeeping, Pakistan proves that diplomatic relevance comes from geography, courage, and the willingness to host difficult conversations.</v>
      </c>
      <c r="AP85" s="61" t="str">
        <f>IFERROR(__xludf.DUMMYFUNCTION("""COMPUTED_VALUE"""),"Young people are no longer just the audience of diplomacy; they are its practitioners. While conventional diplomacy takes place in secluded settings, today's diplomacy happens on timelines, campuses, and online communities where young people naturally eng"&amp;"age. As digital natives, we can humanize the image of a state far more effectively than press releases, while bringing fresh perspectives and genuine dialogue.
The concept of public diplomacy resonates with me because I have seen how perception shapes re"&amp;"ality. Pakistan is often known only through headlines, whereas the Pakistan I know is a country of hospitality, resilience, poetry, and talented youth. Public diplomacy is about telling the complete story of a nation through cultural exchange, student int"&amp;"eractions, art, sports, and sincere dialogue rather than propaganda.
I relate to this personally. Every time I interact with people from other countries, I represent my country through the way I listen, communicate, uphold my values, and handle differenc"&amp;"es. These interactions have the power to shape perceptions, strengthen mutual understanding, and build lasting connections between people and nations.")</f>
        <v>Young people are no longer just the audience of diplomacy; they are its practitioners. While conventional diplomacy takes place in secluded settings, today's diplomacy happens on timelines, campuses, and online communities where young people naturally engage. As digital natives, we can humanize the image of a state far more effectively than press releases, while bringing fresh perspectives and genuine dialogue.
The concept of public diplomacy resonates with me because I have seen how perception shapes reality. Pakistan is often known only through headlines, whereas the Pakistan I know is a country of hospitality, resilience, poetry, and talented youth. Public diplomacy is about telling the complete story of a nation through cultural exchange, student interactions, art, sports, and sincere dialogue rather than propaganda.
I relate to this personally. Every time I interact with people from other countries, I represent my country through the way I listen, communicate, uphold my values, and handle differences. These interactions have the power to shape perceptions, strengthen mutual understanding, and build lasting connections between people and nations.</v>
      </c>
      <c r="AQ85" s="61" t="str">
        <f>IFERROR(__xludf.DUMMYFUNCTION("""COMPUTED_VALUE"""),"For me, passion is what keeps me going when motivation fades. Motivation comes and goes, but passion stays. It is the reason I put extra effort into my work and always try to give my best.
Passion has shaped the way I learn and grow. It encourages me to "&amp;"take on responsibilities beyond my role, develop new skills, and treat every task with care and dedication. When I face challenges, I see them as opportunities to improve rather than reasons to stop.
Goals give us direction, but passion gives us the dete"&amp;"rmination to reach them. It has taught me discipline, patience, and the value of continuous learning. Without passion, work is just a task. With passion, every effort has purpose, and that purpose inspires me to keep improving every day.")</f>
        <v>For me, passion is what keeps me going when motivation fades. Motivation comes and goes, but passion stays. It is the reason I put extra effort into my work and always try to give my best.
Passion has shaped the way I learn and grow. It encourages me to take on responsibilities beyond my role, develop new skills, and treat every task with care and dedication. When I face challenges, I see them as opportunities to improve rather than reasons to stop.
Goals give us direction, but passion gives us the determination to reach them. It has taught me discipline, patience, and the value of continuous learning. Without passion, work is just a task. With passion, every effort has purpose, and that purpose inspires me to keep improving every day.</v>
      </c>
      <c r="AR85" s="61" t="str">
        <f>IFERROR(__xludf.DUMMYFUNCTION("""COMPUTED_VALUE"""),"Yes, though my creativity isn't limited to art; it lives in how I solve problems, tell stories, and present ideas. Professionally, I transform dense, technical information into visuals and narratives that decision-makers actually engage with.
If I applie"&amp;"d this to public diplomacy, my strategy would rest on one belief: people don't connect with countries; they connect with people. So instead of promoting Pakistan through slogans, I would promote it through faces and voices. Imagine a campaign called ""One"&amp;" Cup of Tea"", where a Pakistani student, a shopkeeper, or a grandmother sits down virtually with someone across the world and simply talks. No script, no agenda. Just two humans discovering how similar their fears, jokes, and dreams are.
I would also fl"&amp;"ip the usual approach: rather than telling the world about Pakistan, I would invite the world to ask us anything, openly and honestly, even the uncomfortable questions. Honesty is disarming, and disarming is diplomatic.
My creativity, at its core, is emp"&amp;"athy with imagination. And public diplomacy, done right, is exactly that: imagination in the service of understanding.")</f>
        <v>Yes, though my creativity isn't limited to art; it lives in how I solve problems, tell stories, and present ideas. Professionally, I transform dense, technical information into visuals and narratives that decision-makers actually engage with.
If I applied this to public diplomacy, my strategy would rest on one belief: people don't connect with countries; they connect with people. So instead of promoting Pakistan through slogans, I would promote it through faces and voices. Imagine a campaign called "One Cup of Tea", where a Pakistani student, a shopkeeper, or a grandmother sits down virtually with someone across the world and simply talks. No script, no agenda. Just two humans discovering how similar their fears, jokes, and dreams are.
I would also flip the usual approach: rather than telling the world about Pakistan, I would invite the world to ask us anything, openly and honestly, even the uncomfortable questions. Honesty is disarming, and disarming is diplomatic.
My creativity, at its core, is empathy with imagination. And public diplomacy, done right, is exactly that: imagination in the service of understanding.</v>
      </c>
      <c r="AS85" s="61" t="str">
        <f>IFERROR(__xludf.DUMMYFUNCTION("""COMPUTED_VALUE"""),"Yes")</f>
        <v>Yes</v>
      </c>
      <c r="AT85" s="61" t="str">
        <f>IFERROR(__xludf.DUMMYFUNCTION("""COMPUTED_VALUE"""),"Yes")</f>
        <v>Yes</v>
      </c>
      <c r="AU85" s="61" t="str">
        <f>IFERROR(__xludf.DUMMYFUNCTION("""COMPUTED_VALUE"""),"Global Politics, Diplomacy &amp; Identities")</f>
        <v>Global Politics, Diplomacy &amp; Identities</v>
      </c>
      <c r="AV85" s="61" t="str">
        <f>IFERROR(__xludf.DUMMYFUNCTION("""COMPUTED_VALUE"""),"LinkedIn")</f>
        <v>LinkedIn</v>
      </c>
      <c r="AW85" s="61" t="str">
        <f>IFERROR(__xludf.DUMMYFUNCTION("""COMPUTED_VALUE"""),"Public Diplomacy Workshops and Networking")</f>
        <v>Public Diplomacy Workshops and Networking</v>
      </c>
      <c r="AX85" s="66" t="str">
        <f>IFERROR(__xludf.DUMMYFUNCTION("""COMPUTED_VALUE"""),"Yes")</f>
        <v>Yes</v>
      </c>
      <c r="AY85" s="66">
        <f>IFERROR(__xludf.DUMMYFUNCTION("""COMPUTED_VALUE"""),15.99)</f>
        <v>15.99</v>
      </c>
      <c r="AZ85" s="61"/>
      <c r="BA85" s="61"/>
      <c r="BB85" s="61"/>
      <c r="BC85" s="61"/>
      <c r="BD85" s="61"/>
      <c r="BE85" s="61"/>
      <c r="BF85" s="61"/>
      <c r="BG85" s="61"/>
      <c r="BH85" s="61"/>
      <c r="BI85" s="61"/>
      <c r="BJ85" s="61"/>
      <c r="BK85" s="61"/>
      <c r="BL85" s="61"/>
      <c r="BM85" s="61"/>
      <c r="BN85" s="61"/>
      <c r="BO85" s="61"/>
      <c r="BP85" s="61"/>
      <c r="BQ85" s="61"/>
      <c r="BR85" s="61"/>
    </row>
    <row r="86" ht="15.75" customHeight="1">
      <c r="A86" s="61" t="str">
        <f>IFERROR(__xludf.DUMMYFUNCTION("""COMPUTED_VALUE"""),"Full/partial")</f>
        <v>Full/partial</v>
      </c>
      <c r="B86" s="62">
        <f>IFERROR(__xludf.DUMMYFUNCTION("""COMPUTED_VALUE"""),104.0)</f>
        <v>104</v>
      </c>
      <c r="C86" s="61" t="str">
        <f>IFERROR(__xludf.DUMMYFUNCTION("""COMPUTED_VALUE"""),"Partial")</f>
        <v>Partial</v>
      </c>
      <c r="D86" s="63" t="str">
        <f>IFERROR(__xludf.DUMMYFUNCTION("""COMPUTED_VALUE"""),"Submitted")</f>
        <v>Submitted</v>
      </c>
      <c r="E86" s="63">
        <f>IFERROR(__xludf.DUMMYFUNCTION("""COMPUTED_VALUE"""),46206.82777777778)</f>
        <v>46206.82778</v>
      </c>
      <c r="F86" s="61" t="str">
        <f>IFERROR(__xludf.DUMMYFUNCTION("""COMPUTED_VALUE"""),"Saw Ehdo Htoo")</f>
        <v>Saw Ehdo Htoo</v>
      </c>
      <c r="G86" s="61" t="str">
        <f>IFERROR(__xludf.DUMMYFUNCTION("""COMPUTED_VALUE"""),"Saw Ehdo Htoo")</f>
        <v>Saw Ehdo Htoo</v>
      </c>
      <c r="H86" s="61" t="str">
        <f>IFERROR(__xludf.DUMMYFUNCTION("""COMPUTED_VALUE"""),"sa24e6ll@apu.ac.jp")</f>
        <v>sa24e6ll@apu.ac.jp</v>
      </c>
      <c r="I86" s="61" t="str">
        <f>IFERROR(__xludf.DUMMYFUNCTION("""COMPUTED_VALUE"""),"ehdohtoo69@gmail.com")</f>
        <v>ehdohtoo69@gmail.com</v>
      </c>
      <c r="J86" s="61" t="str">
        <f>IFERROR(__xludf.DUMMYFUNCTION("""COMPUTED_VALUE"""),"3-16 Wakakusacho, KT Building Wakakusa 201, Beppu, Oita, Japan")</f>
        <v>3-16 Wakakusacho, KT Building Wakakusa 201, Beppu, Oita, Japan</v>
      </c>
      <c r="K86" s="61" t="str">
        <f>IFERROR(__xludf.DUMMYFUNCTION("""COMPUTED_VALUE"""),"Myanmar")</f>
        <v>Myanmar</v>
      </c>
      <c r="L86" s="64" t="str">
        <f>IFERROR(__xludf.DUMMYFUNCTION("""COMPUTED_VALUE"""),"070-8536-5112")</f>
        <v>070-8536-5112</v>
      </c>
      <c r="M86" s="64">
        <f>IFERROR(__xludf.DUMMYFUNCTION("""COMPUTED_VALUE"""),38767.0)</f>
        <v>38767</v>
      </c>
      <c r="N86" s="61" t="str">
        <f>IFERROR(__xludf.DUMMYFUNCTION("""COMPUTED_VALUE"""),"MI196590")</f>
        <v>MI196590</v>
      </c>
      <c r="O86" s="61" t="str">
        <f>IFERROR(__xludf.DUMMYFUNCTION("""COMPUTED_VALUE"""),"070-8536-5393")</f>
        <v>070-8536-5393</v>
      </c>
      <c r="P86" s="61"/>
      <c r="Q86" s="61"/>
      <c r="R86" s="61"/>
      <c r="S86" s="61" t="str">
        <f>IFERROR(__xludf.DUMMYFUNCTION("""COMPUTED_VALUE"""),"CamScanner 2026-07-03 23.23.pdf")</f>
        <v>CamScanner 2026-07-03 23.23.pdf</v>
      </c>
      <c r="T86" s="61" t="str">
        <f>IFERROR(__xludf.DUMMYFUNCTION("""COMPUTED_VALUE"""),"IMG_20260318_211709_825.jpg")</f>
        <v>IMG_20260318_211709_825.jpg</v>
      </c>
      <c r="U86" s="61" t="str">
        <f>IFERROR(__xludf.DUMMYFUNCTION("""COMPUTED_VALUE"""),"Bachelor")</f>
        <v>Bachelor</v>
      </c>
      <c r="V86" s="61" t="str">
        <f>IFERROR(__xludf.DUMMYFUNCTION("""COMPUTED_VALUE"""),"Bachelor of Business Administration")</f>
        <v>Bachelor of Business Administration</v>
      </c>
      <c r="W86" s="61" t="str">
        <f>IFERROR(__xludf.DUMMYFUNCTION("""COMPUTED_VALUE"""),"Strategic Management and Leadership")</f>
        <v>Strategic Management and Leadership</v>
      </c>
      <c r="X86" s="61" t="str">
        <f>IFERROR(__xludf.DUMMYFUNCTION("""COMPUTED_VALUE"""),"Ritsumeikan Asia Pacific University")</f>
        <v>Ritsumeikan Asia Pacific University</v>
      </c>
      <c r="Y86" s="61" t="str">
        <f>IFERROR(__xludf.DUMMYFUNCTION("""COMPUTED_VALUE"""),"Yes")</f>
        <v>Yes</v>
      </c>
      <c r="Z86" s="61" t="str">
        <f>IFERROR(__xludf.DUMMYFUNCTION("""COMPUTED_VALUE"""),"Japan")</f>
        <v>Japan</v>
      </c>
      <c r="AA86" s="61" t="str">
        <f>IFERROR(__xludf.DUMMYFUNCTION("""COMPUTED_VALUE"""),"No")</f>
        <v>No</v>
      </c>
      <c r="AB86" s="61"/>
      <c r="AC86" s="61" t="str">
        <f>IFERROR(__xludf.DUMMYFUNCTION("""COMPUTED_VALUE"""),"Yes, some of my classes require a lot of academic research.")</f>
        <v>Yes, some of my classes require a lot of academic research.</v>
      </c>
      <c r="AD86" s="61" t="str">
        <f>IFERROR(__xludf.DUMMYFUNCTION("""COMPUTED_VALUE"""),"For the Future Myanmar")</f>
        <v>For the Future Myanmar</v>
      </c>
      <c r="AE86" s="61"/>
      <c r="AF86" s="61" t="str">
        <f>IFERROR(__xludf.DUMMYFUNCTION("""COMPUTED_VALUE"""),"Training and Development Team Member")</f>
        <v>Training and Development Team Member</v>
      </c>
      <c r="AG86" s="61" t="str">
        <f>IFERROR(__xludf.DUMMYFUNCTION("""COMPUTED_VALUE"""),"1 year")</f>
        <v>1 year</v>
      </c>
      <c r="AH86" s="61" t="str">
        <f>IFERROR(__xludf.DUMMYFUNCTION("""COMPUTED_VALUE"""),"No")</f>
        <v>No</v>
      </c>
      <c r="AI86" s="61"/>
      <c r="AJ86" s="61"/>
      <c r="AK86" s="61"/>
      <c r="AL86" s="61" t="str">
        <f>IFERROR(__xludf.DUMMYFUNCTION("""COMPUTED_VALUE"""),"Data Analysis")</f>
        <v>Data Analysis</v>
      </c>
      <c r="AM86" s="61" t="str">
        <f>IFERROR(__xludf.DUMMYFUNCTION("""COMPUTED_VALUE"""),"CV.png")</f>
        <v>CV.png</v>
      </c>
      <c r="AN86" s="61" t="str">
        <f>IFERROR(__xludf.DUMMYFUNCTION("""COMPUTED_VALUE"""),"I do not like to think in terms of “changing the world.” I always felt it was too abstract to act on. What I can do is change the small world in front of me. I have worked as a teaching assistant for several classes at my university here in Japan, namely "&amp;"APU. I have helped many international students build their lives in a language that is not theirs. In addition, as the vice-president of the university’s shamisen club, I also introduce international students from dozens of different countries to a Japane"&amp;"se tradition that they have never touched. Neither is world-changing on its own. But they are both real. They are both repeatable acts of connecting people across language and culture.")</f>
        <v>I do not like to think in terms of “changing the world.” I always felt it was too abstract to act on. What I can do is change the small world in front of me. I have worked as a teaching assistant for several classes at my university here in Japan, namely APU. I have helped many international students build their lives in a language that is not theirs. In addition, as the vice-president of the university’s shamisen club, I also introduce international students from dozens of different countries to a Japanese tradition that they have never touched. Neither is world-changing on its own. But they are both real. They are both repeatable acts of connecting people across language and culture.</v>
      </c>
      <c r="AO86" s="61" t="str">
        <f>IFERROR(__xludf.DUMMYFUNCTION("""COMPUTED_VALUE"""),"I might have some biases due to my firsthand experience, but I would say Japan. It sits at the center of major regional tensions: China, the two Koreas, Taiwan, Russia, and the US Alliance. Still, it positions itself as a stabilizing, non-confrontational "&amp;"power. Throughout my time here in APU, where half the student body is international students, I see this soft power working in real time. Students come to Japan not due to political persuasion but rather via cultural pull. This mix of quiet strategic posi"&amp;"tioning and genuine culture appeal is why I think Japan punches above its weight diplomatically, despite having limited military hard power.")</f>
        <v>I might have some biases due to my firsthand experience, but I would say Japan. It sits at the center of major regional tensions: China, the two Koreas, Taiwan, Russia, and the US Alliance. Still, it positions itself as a stabilizing, non-confrontational power. Throughout my time here in APU, where half the student body is international students, I see this soft power working in real time. Students come to Japan not due to political persuasion but rather via cultural pull. This mix of quiet strategic positioning and genuine culture appeal is why I think Japan punches above its weight diplomatically, despite having limited military hard power.</v>
      </c>
      <c r="AP86" s="61" t="str">
        <f>IFERROR(__xludf.DUMMYFUNCTION("""COMPUTED_VALUE"""),"Though it pains me to say, youths are diplomacy’s least official channel. But we are also the most durable channel. While governments negotiate treaties, it is us youths who can build the personal trust that makes those treaties stick. And we do it in one"&amp;" classroom, one friendship, one shared meal at a time. This happens without press coverage, and it outlasts political cycles because it is personal, not institutional.
I relate to this directly. In APU, I am surrounded by people from all over the world. "&amp;"As a TA, vice-president, even at my part-time job at a sushi restaurant, all the daily interactions that I do are small acts of public diplomacy. When I help a friend understand something about the Japanese language or teach somebody who is not familiar w"&amp;"ith Japanese music how to read the traditional sheet music, I am not representing a government, but I am still shaping how they will think of Japan and of people like me.
Public diplomacy, to me, is not a top-down messaging campaign. It is the accumulati"&amp;"on of thousands of ordinary interactions between people who happen to be from different countries. Youth can do this constantly, informally, which official diplomats often cannot.")</f>
        <v>Though it pains me to say, youths are diplomacy’s least official channel. But we are also the most durable channel. While governments negotiate treaties, it is us youths who can build the personal trust that makes those treaties stick. And we do it in one classroom, one friendship, one shared meal at a time. This happens without press coverage, and it outlasts political cycles because it is personal, not institutional.
I relate to this directly. In APU, I am surrounded by people from all over the world. As a TA, vice-president, even at my part-time job at a sushi restaurant, all the daily interactions that I do are small acts of public diplomacy. When I help a friend understand something about the Japanese language or teach somebody who is not familiar with Japanese music how to read the traditional sheet music, I am not representing a government, but I am still shaping how they will think of Japan and of people like me.
Public diplomacy, to me, is not a top-down messaging campaign. It is the accumulation of thousands of ordinary interactions between people who happen to be from different countries. Youth can do this constantly, informally, which official diplomats often cannot.</v>
      </c>
      <c r="AQ86" s="61" t="str">
        <f>IFERROR(__xludf.DUMMYFUNCTION("""COMPUTED_VALUE"""),"I see passion as something that you keep doing even when you are not being graded. For me, that is Japanese. I did not start learning it for credits. Rather, I started learning it even before I came to Japan. I started because I wanted to understand anime"&amp;" without subtitles, and that pulled me into years of self-directed study, immersion tools, and eventually JLPT N3. 
I believe that kind of passion matters because it survives dopamine peaks. Formal motivations such as grades fade when things get hard. Pa"&amp;"ssion is what gets you to open the textbook, or pick up the shamisen, on a day nobody is checking. It is also what let me become one of the shamisen club’s officers. The role comes from genuinely caring about the matter at hand. My long-term goal is to li"&amp;"ve and work in Japan, and passion is the fuel that makes the daily, unglamorous parts of that goal sustainable.")</f>
        <v>I see passion as something that you keep doing even when you are not being graded. For me, that is Japanese. I did not start learning it for credits. Rather, I started learning it even before I came to Japan. I started because I wanted to understand anime without subtitles, and that pulled me into years of self-directed study, immersion tools, and eventually JLPT N3. 
I believe that kind of passion matters because it survives dopamine peaks. Formal motivations such as grades fade when things get hard. Passion is what gets you to open the textbook, or pick up the shamisen, on a day nobody is checking. It is also what let me become one of the shamisen club’s officers. The role comes from genuinely caring about the matter at hand. My long-term goal is to live and work in Japan, and passion is the fuel that makes the daily, unglamorous parts of that goal sustainable.</v>
      </c>
      <c r="AR86" s="61" t="str">
        <f>IFERROR(__xludf.DUMMYFUNCTION("""COMPUTED_VALUE"""),"Yes, and I would build that around music. Because music is one of the few truly universal languages. It does not need translation to be understood, and it does not ask an audience to already know something about the culture behind it. You can feel a melod"&amp;"y before you understand its context. That makes it one of the most efficient tools public diplomacy has.
I can play guitar, mandolin, and shamisen. I have also studied music theory, so when I play music, I understand the structure underneath it, such as "&amp;"scale, rhythm, and why a piece sounds the way it does. This can be used strategically, because a performance paired with a short explanation can turn a moment of entertainment into a moment of genuine cultural understanding. People remember how something "&amp;"made them feel. And people tend to stay curious over why it made them feel like that.
As a strategy, I can use live music as the starting point. It hits people right away and does not need any background knowledge. Then I would follow it with a short exp"&amp;"lanation to turn that first reaction into actual interest. This can work well at events such as cultural exchange programs, or student gatherings. As a plus factor, I can use shamisen because it is unusual enough that people get curious just from seeing i"&amp;"t. I can use music to pique people’s interest. And I can use the story behind the music to keep people engaged.")</f>
        <v>Yes, and I would build that around music. Because music is one of the few truly universal languages. It does not need translation to be understood, and it does not ask an audience to already know something about the culture behind it. You can feel a melody before you understand its context. That makes it one of the most efficient tools public diplomacy has.
I can play guitar, mandolin, and shamisen. I have also studied music theory, so when I play music, I understand the structure underneath it, such as scale, rhythm, and why a piece sounds the way it does. This can be used strategically, because a performance paired with a short explanation can turn a moment of entertainment into a moment of genuine cultural understanding. People remember how something made them feel. And people tend to stay curious over why it made them feel like that.
As a strategy, I can use live music as the starting point. It hits people right away and does not need any background knowledge. Then I would follow it with a short explanation to turn that first reaction into actual interest. This can work well at events such as cultural exchange programs, or student gatherings. As a plus factor, I can use shamisen because it is unusual enough that people get curious just from seeing it. I can use music to pique people’s interest. And I can use the story behind the music to keep people engaged.</v>
      </c>
      <c r="AS86" s="61" t="str">
        <f>IFERROR(__xludf.DUMMYFUNCTION("""COMPUTED_VALUE"""),"Yes")</f>
        <v>Yes</v>
      </c>
      <c r="AT86" s="61" t="str">
        <f>IFERROR(__xludf.DUMMYFUNCTION("""COMPUTED_VALUE"""),"Yes")</f>
        <v>Yes</v>
      </c>
      <c r="AU86" s="61" t="str">
        <f>IFERROR(__xludf.DUMMYFUNCTION("""COMPUTED_VALUE"""),"Arts, Culture &amp; Soft Power")</f>
        <v>Arts, Culture &amp; Soft Power</v>
      </c>
      <c r="AV86" s="61" t="str">
        <f>IFERROR(__xludf.DUMMYFUNCTION("""COMPUTED_VALUE"""),"Facebook")</f>
        <v>Facebook</v>
      </c>
      <c r="AW86" s="61"/>
      <c r="AX86" s="66" t="str">
        <f>IFERROR(__xludf.DUMMYFUNCTION("""COMPUTED_VALUE"""),"Yes")</f>
        <v>Yes</v>
      </c>
      <c r="AY86" s="66">
        <f>IFERROR(__xludf.DUMMYFUNCTION("""COMPUTED_VALUE"""),15.99)</f>
        <v>15.99</v>
      </c>
      <c r="AZ86" s="61"/>
      <c r="BA86" s="61"/>
      <c r="BB86" s="61"/>
      <c r="BC86" s="61"/>
      <c r="BD86" s="61"/>
      <c r="BE86" s="61"/>
      <c r="BF86" s="61"/>
      <c r="BG86" s="61"/>
      <c r="BH86" s="61"/>
      <c r="BI86" s="61"/>
      <c r="BJ86" s="61"/>
      <c r="BK86" s="61"/>
      <c r="BL86" s="61"/>
      <c r="BM86" s="61"/>
      <c r="BN86" s="61"/>
      <c r="BO86" s="61"/>
      <c r="BP86" s="61"/>
      <c r="BQ86" s="61"/>
      <c r="BR86" s="61"/>
    </row>
    <row r="87" ht="15.75" customHeight="1">
      <c r="A87" s="61" t="str">
        <f>IFERROR(__xludf.DUMMYFUNCTION("""COMPUTED_VALUE"""),"partial")</f>
        <v>partial</v>
      </c>
      <c r="B87" s="62">
        <f>IFERROR(__xludf.DUMMYFUNCTION("""COMPUTED_VALUE"""),106.0)</f>
        <v>106</v>
      </c>
      <c r="C87" s="61" t="str">
        <f>IFERROR(__xludf.DUMMYFUNCTION("""COMPUTED_VALUE"""),"partial")</f>
        <v>partial</v>
      </c>
      <c r="D87" s="63" t="str">
        <f>IFERROR(__xludf.DUMMYFUNCTION("""COMPUTED_VALUE"""),"Submitted")</f>
        <v>Submitted</v>
      </c>
      <c r="E87" s="63">
        <f>IFERROR(__xludf.DUMMYFUNCTION("""COMPUTED_VALUE"""),46206.87638888889)</f>
        <v>46206.87639</v>
      </c>
      <c r="F87" s="61" t="str">
        <f>IFERROR(__xludf.DUMMYFUNCTION("""COMPUTED_VALUE"""),"Tala Abuzaid")</f>
        <v>Tala Abuzaid</v>
      </c>
      <c r="G87" s="61" t="str">
        <f>IFERROR(__xludf.DUMMYFUNCTION("""COMPUTED_VALUE"""),"Tala Khaled Abuzaid")</f>
        <v>Tala Khaled Abuzaid</v>
      </c>
      <c r="H87" s="61" t="str">
        <f>IFERROR(__xludf.DUMMYFUNCTION("""COMPUTED_VALUE"""),"Abuzaidtala2006@gmail.com")</f>
        <v>Abuzaidtala2006@gmail.com</v>
      </c>
      <c r="I87" s="61" t="str">
        <f>IFERROR(__xludf.DUMMYFUNCTION("""COMPUTED_VALUE"""),"totowifi2006@gmail.com")</f>
        <v>totowifi2006@gmail.com</v>
      </c>
      <c r="J87" s="61" t="str">
        <f>IFERROR(__xludf.DUMMYFUNCTION("""COMPUTED_VALUE"""),"Applied Science Private University, Alarab street, Amman, Jordan")</f>
        <v>Applied Science Private University, Alarab street, Amman, Jordan</v>
      </c>
      <c r="K87" s="61" t="str">
        <f>IFERROR(__xludf.DUMMYFUNCTION("""COMPUTED_VALUE"""),"Jordanian")</f>
        <v>Jordanian</v>
      </c>
      <c r="L87" s="64" t="str">
        <f>IFERROR(__xludf.DUMMYFUNCTION("""COMPUTED_VALUE"""),"+962798828454")</f>
        <v>+962798828454</v>
      </c>
      <c r="M87" s="64">
        <f>IFERROR(__xludf.DUMMYFUNCTION("""COMPUTED_VALUE"""),38857.0)</f>
        <v>38857</v>
      </c>
      <c r="N87" s="61" t="str">
        <f>IFERROR(__xludf.DUMMYFUNCTION("""COMPUTED_VALUE"""),"R618135")</f>
        <v>R618135</v>
      </c>
      <c r="O87" s="61" t="str">
        <f>IFERROR(__xludf.DUMMYFUNCTION("""COMPUTED_VALUE"""),"+962799512003")</f>
        <v>+962799512003</v>
      </c>
      <c r="P87" s="65" t="str">
        <f>IFERROR(__xludf.DUMMYFUNCTION("""COMPUTED_VALUE"""),"https://www.linkedin.com/in/tala-abuzaid-123689362?utm_source=share_via&amp;utm_content=profile&amp;utm_medium=member_ios")</f>
        <v>https://www.linkedin.com/in/tala-abuzaid-123689362?utm_source=share_via&amp;utm_content=profile&amp;utm_medium=member_ios</v>
      </c>
      <c r="Q87" s="65" t="str">
        <f>IFERROR(__xludf.DUMMYFUNCTION("""COMPUTED_VALUE"""),"https://www.instagram.com/tala_khaled_abuzaid_06?igsh=YTBlMzRra2tkNTE0&amp;utm_source=qr")</f>
        <v>https://www.instagram.com/tala_khaled_abuzaid_06?igsh=YTBlMzRra2tkNTE0&amp;utm_source=qr</v>
      </c>
      <c r="R87" s="65" t="str">
        <f>IFERROR(__xludf.DUMMYFUNCTION("""COMPUTED_VALUE"""),"https://www.facebook.com/share/1H8UENDyGD/?mibextid=wwXIfr")</f>
        <v>https://www.facebook.com/share/1H8UENDyGD/?mibextid=wwXIfr</v>
      </c>
      <c r="S87" s="61" t="str">
        <f>IFERROR(__xludf.DUMMYFUNCTION("""COMPUTED_VALUE"""),"passport_document.pdf")</f>
        <v>passport_document.pdf</v>
      </c>
      <c r="T87" s="61" t="str">
        <f>IFERROR(__xludf.DUMMYFUNCTION("""COMPUTED_VALUE"""),"profile_picture.pdf")</f>
        <v>profile_picture.pdf</v>
      </c>
      <c r="U87" s="61" t="str">
        <f>IFERROR(__xludf.DUMMYFUNCTION("""COMPUTED_VALUE"""),"Bachelor's")</f>
        <v>Bachelor's</v>
      </c>
      <c r="V87" s="61" t="str">
        <f>IFERROR(__xludf.DUMMYFUNCTION("""COMPUTED_VALUE"""),"Bachelor of Pharmacy")</f>
        <v>Bachelor of Pharmacy</v>
      </c>
      <c r="W87" s="61" t="str">
        <f>IFERROR(__xludf.DUMMYFUNCTION("""COMPUTED_VALUE"""),"Pharmacy")</f>
        <v>Pharmacy</v>
      </c>
      <c r="X87" s="61" t="str">
        <f>IFERROR(__xludf.DUMMYFUNCTION("""COMPUTED_VALUE"""),"Applied Science Private University")</f>
        <v>Applied Science Private University</v>
      </c>
      <c r="Y87" s="61" t="str">
        <f>IFERROR(__xludf.DUMMYFUNCTION("""COMPUTED_VALUE"""),"Yes")</f>
        <v>Yes</v>
      </c>
      <c r="Z87" s="61" t="str">
        <f>IFERROR(__xludf.DUMMYFUNCTION("""COMPUTED_VALUE"""),"Jordan")</f>
        <v>Jordan</v>
      </c>
      <c r="AA87" s="61" t="str">
        <f>IFERROR(__xludf.DUMMYFUNCTION("""COMPUTED_VALUE"""),"No")</f>
        <v>No</v>
      </c>
      <c r="AB87" s="61"/>
      <c r="AC87" s="61" t="str">
        <f>IFERROR(__xludf.DUMMYFUNCTION("""COMPUTED_VALUE"""),"Yes")</f>
        <v>Yes</v>
      </c>
      <c r="AD87" s="61" t="str">
        <f>IFERROR(__xludf.DUMMYFUNCTION("""COMPUTED_VALUE"""),"IEEE")</f>
        <v>IEEE</v>
      </c>
      <c r="AE87" s="65" t="str">
        <f>IFERROR(__xludf.DUMMYFUNCTION("""COMPUTED_VALUE"""),"https://www.ieee.org")</f>
        <v>https://www.ieee.org</v>
      </c>
      <c r="AF87" s="61" t="str">
        <f>IFERROR(__xludf.DUMMYFUNCTION("""COMPUTED_VALUE"""),"Participant in training courses")</f>
        <v>Participant in training courses</v>
      </c>
      <c r="AG87" s="61" t="str">
        <f>IFERROR(__xludf.DUMMYFUNCTION("""COMPUTED_VALUE"""),"Less than a year")</f>
        <v>Less than a year</v>
      </c>
      <c r="AH87" s="61" t="str">
        <f>IFERROR(__xludf.DUMMYFUNCTION("""COMPUTED_VALUE"""),"No")</f>
        <v>No</v>
      </c>
      <c r="AI87" s="61"/>
      <c r="AJ87" s="61"/>
      <c r="AK87" s="61"/>
      <c r="AL87" s="61" t="str">
        <f>IFERROR(__xludf.DUMMYFUNCTION("""COMPUTED_VALUE"""),"Leadership, Innovative Thinking, Communication Skills")</f>
        <v>Leadership, Innovative Thinking, Communication Skills</v>
      </c>
      <c r="AM87" s="61" t="str">
        <f>IFERROR(__xludf.DUMMYFUNCTION("""COMPUTED_VALUE"""),"CV pdf 100% .pdf")</f>
        <v>CV pdf 100% .pdf</v>
      </c>
      <c r="AN87" s="61" t="str">
        <f>IFERROR(__xludf.DUMMYFUNCTION("""COMPUTED_VALUE"""),"Yes. I believe meaningful change begins with improving ourselves before influencing others. I have invested in developing my academic knowledge, communication skills, and leadership abilities so I can better serve my community. As a pharmacy student, I re"&amp;"gularly encourage my classmates, friends, and family members to pursue continuous learning, adopt healthier lifestyles, and support one another during academic challenges. I enjoy sharing what I learn from workshops and courses, believing that knowledge h"&amp;"as greater value when it is shared. My long-term goal is to become a healthcare professional who not only treats patients but also inspires healthier, more informed, and compassionate communities.")</f>
        <v>Yes. I believe meaningful change begins with improving ourselves before influencing others. I have invested in developing my academic knowledge, communication skills, and leadership abilities so I can better serve my community. As a pharmacy student, I regularly encourage my classmates, friends, and family members to pursue continuous learning, adopt healthier lifestyles, and support one another during academic challenges. I enjoy sharing what I learn from workshops and courses, believing that knowledge has greater value when it is shared. My long-term goal is to become a healthcare professional who not only treats patients but also inspires healthier, more informed, and compassionate communities.</v>
      </c>
      <c r="AO87" s="61" t="str">
        <f>IFERROR(__xludf.DUMMYFUNCTION("""COMPUTED_VALUE"""),"I believe Jordan is one of the world’s most diplomatically significant countries because it consistently promotes dialogue, moderation, and regional stability despite facing complex geopolitical challenges. Jordan has become an important mediator in Middl"&amp;"e Eastern affairs, hosts millions of refugees with remarkable humanitarian commitment, and maintains constructive relationships with countries across different regions. Its emphasis on peaceful coexistence, interfaith dialogue, and international cooperati"&amp;"on demonstrates how diplomacy can build trust even during difficult times. As a Jordanian student, I am inspired by my country’s diplomatic approach and hope to contribute to strengthening international understanding through healthcare, education, and you"&amp;"th engagement.")</f>
        <v>I believe Jordan is one of the world’s most diplomatically significant countries because it consistently promotes dialogue, moderation, and regional stability despite facing complex geopolitical challenges. Jordan has become an important mediator in Middle Eastern affairs, hosts millions of refugees with remarkable humanitarian commitment, and maintains constructive relationships with countries across different regions. Its emphasis on peaceful coexistence, interfaith dialogue, and international cooperation demonstrates how diplomacy can build trust even during difficult times. As a Jordanian student, I am inspired by my country’s diplomatic approach and hope to contribute to strengthening international understanding through healthcare, education, and youth engagement.</v>
      </c>
      <c r="AP87" s="61" t="str">
        <f>IFERROR(__xludf.DUMMYFUNCTION("""COMPUTED_VALUE"""),"Young people are powerful ambassadors for peace, innovation, and international cooperation. Through education, cultural exchange, volunteerism, and digital communication, youth can build bridges between societies and challenge stereotypes with understandi"&amp;"ng and respect. Their energy, creativity, and openness allow them to contribute fresh perspectives to global challenges.
Public diplomacy is especially meaningful to me because it focuses on connecting people rather than only governments. As a pharmacy s"&amp;"tudent, I interact with individuals from different backgrounds and have learned that empathy, active listening, and respectful communication are essential for building trust. Healthcare itself is a form of public diplomacy because compassion and service c"&amp;"reate positive connections that cross cultural and national boundaries.
Participating in YPDS Jakarta would allow me to exchange ideas with young leaders from different countries, learn from their experiences, and share Jordan’s values of dialogue and co"&amp;"existence. I hope to combine my healthcare background with leadership and intercultural communication to promote public health awareness, encourage international collaboration, and inspire other young people to become active contributors to a more peacefu"&amp;"l and connected world.")</f>
        <v>Young people are powerful ambassadors for peace, innovation, and international cooperation. Through education, cultural exchange, volunteerism, and digital communication, youth can build bridges between societies and challenge stereotypes with understanding and respect. Their energy, creativity, and openness allow them to contribute fresh perspectives to global challenges.
Public diplomacy is especially meaningful to me because it focuses on connecting people rather than only governments. As a pharmacy student, I interact with individuals from different backgrounds and have learned that empathy, active listening, and respectful communication are essential for building trust. Healthcare itself is a form of public diplomacy because compassion and service create positive connections that cross cultural and national boundaries.
Participating in YPDS Jakarta would allow me to exchange ideas with young leaders from different countries, learn from their experiences, and share Jordan’s values of dialogue and coexistence. I hope to combine my healthcare background with leadership and intercultural communication to promote public health awareness, encourage international collaboration, and inspire other young people to become active contributors to a more peaceful and connected world.</v>
      </c>
      <c r="AQ87" s="61" t="str">
        <f>IFERROR(__xludf.DUMMYFUNCTION("""COMPUTED_VALUE"""),"Passion is the inner drive that motivates a person to keep learning, growing, and overcoming challenges. It transforms goals into consistent action and gives purpose to every effort. Passion is especially important because success rarely comes without per"&amp;"sistence, discipline, and resilience.
My passion is improving people’s lives through healthcare and lifelong learning. Studying pharmacy has strengthened my commitment to serving others, while participating in professional workshops has encouraged me to "&amp;"continue developing both my technical and communication skills. Every new experience motivates me to become more knowledgeable and confident.
Passion reminds me that every challenge is an opportunity to grow. It inspires me to remain curious, embrace new"&amp;" opportunities, and work toward becoming a healthcare professional who contributes not only to patient care but also to community education, international cooperation, and positive social impact.")</f>
        <v>Passion is the inner drive that motivates a person to keep learning, growing, and overcoming challenges. It transforms goals into consistent action and gives purpose to every effort. Passion is especially important because success rarely comes without persistence, discipline, and resilience.
My passion is improving people’s lives through healthcare and lifelong learning. Studying pharmacy has strengthened my commitment to serving others, while participating in professional workshops has encouraged me to continue developing both my technical and communication skills. Every new experience motivates me to become more knowledgeable and confident.
Passion reminds me that every challenge is an opportunity to grow. It inspires me to remain curious, embrace new opportunities, and work toward becoming a healthcare professional who contributes not only to patient care but also to community education, international cooperation, and positive social impact.</v>
      </c>
      <c r="AR87" s="61" t="str">
        <f>IFERROR(__xludf.DUMMYFUNCTION("""COMPUTED_VALUE"""),"Yes, I consider myself a creative person because I enjoy finding practical solutions, communicating ideas effectively, and learning through new experiences. Creativity is not only about artistic talent; it is also about solving problems, connecting people"&amp;", and presenting ideas in ways that inspire positive action.
In public diplomacy, creativity helps make international dialogue more engaging and accessible. Young people can use social media campaigns, educational videos, cultural exchange events, health"&amp;" awareness initiatives, and collaborative community projects to encourage mutual understanding between different cultures. These activities allow people to discover shared values while appreciating cultural diversity.
As a pharmacy student, I would like "&amp;"to use creative public health campaigns to educate communities about disease prevention, healthy lifestyles, and responsible medicine use. By combining healthcare knowledge with effective communication and digital platforms, I hope to encourage cooperatio"&amp;"n across borders and demonstrate that science and compassion can unite people regardless of nationality. I believe creativity, empathy, and collaboration are essential tools for building stronger international relationships and promoting lasting peace.")</f>
        <v>Yes, I consider myself a creative person because I enjoy finding practical solutions, communicating ideas effectively, and learning through new experiences. Creativity is not only about artistic talent; it is also about solving problems, connecting people, and presenting ideas in ways that inspire positive action.
In public diplomacy, creativity helps make international dialogue more engaging and accessible. Young people can use social media campaigns, educational videos, cultural exchange events, health awareness initiatives, and collaborative community projects to encourage mutual understanding between different cultures. These activities allow people to discover shared values while appreciating cultural diversity.
As a pharmacy student, I would like to use creative public health campaigns to educate communities about disease prevention, healthy lifestyles, and responsible medicine use. By combining healthcare knowledge with effective communication and digital platforms, I hope to encourage cooperation across borders and demonstrate that science and compassion can unite people regardless of nationality. I believe creativity, empathy, and collaboration are essential tools for building stronger international relationships and promoting lasting peace.</v>
      </c>
      <c r="AS87" s="61" t="str">
        <f>IFERROR(__xludf.DUMMYFUNCTION("""COMPUTED_VALUE"""),"Yes")</f>
        <v>Yes</v>
      </c>
      <c r="AT87" s="61" t="str">
        <f>IFERROR(__xludf.DUMMYFUNCTION("""COMPUTED_VALUE"""),"Yes")</f>
        <v>Yes</v>
      </c>
      <c r="AU87" s="61" t="str">
        <f>IFERROR(__xludf.DUMMYFUNCTION("""COMPUTED_VALUE"""),"Global Politics, Diplomacy &amp; Identities")</f>
        <v>Global Politics, Diplomacy &amp; Identities</v>
      </c>
      <c r="AV87" s="61" t="str">
        <f>IFERROR(__xludf.DUMMYFUNCTION("""COMPUTED_VALUE"""),"From Dr. Samaa Abdullah my professor at the Applied Sciences Private University")</f>
        <v>From Dr. Samaa Abdullah my professor at the Applied Sciences Private University</v>
      </c>
      <c r="AW87" s="61" t="str">
        <f>IFERROR(__xludf.DUMMYFUNCTION("""COMPUTED_VALUE"""),"Public Diplomacy in the 21st Century")</f>
        <v>Public Diplomacy in the 21st Century</v>
      </c>
      <c r="AX87" s="66" t="str">
        <f>IFERROR(__xludf.DUMMYFUNCTION("""COMPUTED_VALUE"""),"Yes")</f>
        <v>Yes</v>
      </c>
      <c r="AY87" s="66">
        <f>IFERROR(__xludf.DUMMYFUNCTION("""COMPUTED_VALUE"""),15.99)</f>
        <v>15.99</v>
      </c>
      <c r="AZ87" s="61"/>
      <c r="BA87" s="61"/>
      <c r="BB87" s="61"/>
      <c r="BC87" s="61"/>
      <c r="BD87" s="61"/>
      <c r="BE87" s="61"/>
      <c r="BF87" s="61"/>
      <c r="BG87" s="61"/>
      <c r="BH87" s="61"/>
      <c r="BI87" s="61"/>
      <c r="BJ87" s="61"/>
      <c r="BK87" s="61"/>
      <c r="BL87" s="61"/>
      <c r="BM87" s="61"/>
      <c r="BN87" s="61"/>
      <c r="BO87" s="61"/>
      <c r="BP87" s="61"/>
      <c r="BQ87" s="61"/>
      <c r="BR87" s="61"/>
    </row>
    <row r="88" ht="15.75" customHeight="1">
      <c r="A88" s="61" t="str">
        <f>IFERROR(__xludf.DUMMYFUNCTION("""COMPUTED_VALUE"""),"Partial")</f>
        <v>Partial</v>
      </c>
      <c r="B88" s="62">
        <f>IFERROR(__xludf.DUMMYFUNCTION("""COMPUTED_VALUE"""),108.0)</f>
        <v>108</v>
      </c>
      <c r="C88" s="61" t="str">
        <f>IFERROR(__xludf.DUMMYFUNCTION("""COMPUTED_VALUE"""),"Partial")</f>
        <v>Partial</v>
      </c>
      <c r="D88" s="63" t="str">
        <f>IFERROR(__xludf.DUMMYFUNCTION("""COMPUTED_VALUE"""),"Submitted")</f>
        <v>Submitted</v>
      </c>
      <c r="E88" s="63">
        <f>IFERROR(__xludf.DUMMYFUNCTION("""COMPUTED_VALUE"""),46207.59027777778)</f>
        <v>46207.59028</v>
      </c>
      <c r="F88" s="61" t="str">
        <f>IFERROR(__xludf.DUMMYFUNCTION("""COMPUTED_VALUE"""),"Askat Abdumitalipov")</f>
        <v>Askat Abdumitalipov</v>
      </c>
      <c r="G88" s="61" t="str">
        <f>IFERROR(__xludf.DUMMYFUNCTION("""COMPUTED_VALUE"""),"Askat Abdumitalipov")</f>
        <v>Askat Abdumitalipov</v>
      </c>
      <c r="H88" s="61" t="str">
        <f>IFERROR(__xludf.DUMMYFUNCTION("""COMPUTED_VALUE"""),"askatmanas81@gmail.com")</f>
        <v>askatmanas81@gmail.com</v>
      </c>
      <c r="I88" s="61" t="str">
        <f>IFERROR(__xludf.DUMMYFUNCTION("""COMPUTED_VALUE"""),"askatabdumitalipov7@gmail.com")</f>
        <v>askatabdumitalipov7@gmail.com</v>
      </c>
      <c r="J88" s="61" t="str">
        <f>IFERROR(__xludf.DUMMYFUNCTION("""COMPUTED_VALUE"""),"Rottenbiller 39, 7, Budapest, Hungary")</f>
        <v>Rottenbiller 39, 7, Budapest, Hungary</v>
      </c>
      <c r="K88" s="61" t="str">
        <f>IFERROR(__xludf.DUMMYFUNCTION("""COMPUTED_VALUE"""),"Kyrgyz")</f>
        <v>Kyrgyz</v>
      </c>
      <c r="L88" s="64" t="str">
        <f>IFERROR(__xludf.DUMMYFUNCTION("""COMPUTED_VALUE"""),"+36706375281")</f>
        <v>+36706375281</v>
      </c>
      <c r="M88" s="64">
        <f>IFERROR(__xludf.DUMMYFUNCTION("""COMPUTED_VALUE"""),38824.0)</f>
        <v>38824</v>
      </c>
      <c r="N88" s="61" t="str">
        <f>IFERROR(__xludf.DUMMYFUNCTION("""COMPUTED_VALUE"""),"PE1662894")</f>
        <v>PE1662894</v>
      </c>
      <c r="O88" s="61" t="str">
        <f>IFERROR(__xludf.DUMMYFUNCTION("""COMPUTED_VALUE"""),"+996707958559")</f>
        <v>+996707958559</v>
      </c>
      <c r="P88" s="61"/>
      <c r="Q88" s="61" t="str">
        <f>IFERROR(__xludf.DUMMYFUNCTION("""COMPUTED_VALUE"""),"@acescheming")</f>
        <v>@acescheming</v>
      </c>
      <c r="R88" s="61"/>
      <c r="S88" s="61" t="str">
        <f>IFERROR(__xludf.DUMMYFUNCTION("""COMPUTED_VALUE"""),"Askat Abdumitalipov-1139948.ЗАГРАН ПАСПОРТ_compressed.pdf (page 1) (2).jpeg")</f>
        <v>Askat Abdumitalipov-1139948.ЗАГРАН ПАСПОРТ_compressed.pdf (page 1) (2).jpeg</v>
      </c>
      <c r="T88" s="61" t="str">
        <f>IFERROR(__xludf.DUMMYFUNCTION("""COMPUTED_VALUE"""),"WhatsApp Image 2026-07-04 at 09.39.05.jpeg")</f>
        <v>WhatsApp Image 2026-07-04 at 09.39.05.jpeg</v>
      </c>
      <c r="U88" s="61" t="str">
        <f>IFERROR(__xludf.DUMMYFUNCTION("""COMPUTED_VALUE"""),"I am currently a BSc student in International Business Economics")</f>
        <v>I am currently a BSc student in International Business Economics</v>
      </c>
      <c r="V88" s="61" t="str">
        <f>IFERROR(__xludf.DUMMYFUNCTION("""COMPUTED_VALUE"""),"International Business Economics")</f>
        <v>International Business Economics</v>
      </c>
      <c r="W88" s="61" t="str">
        <f>IFERROR(__xludf.DUMMYFUNCTION("""COMPUTED_VALUE"""),"International Business Development")</f>
        <v>International Business Development</v>
      </c>
      <c r="X88" s="61" t="str">
        <f>IFERROR(__xludf.DUMMYFUNCTION("""COMPUTED_VALUE"""),"Budapest University of Economics and Business (BUEB/BGE)")</f>
        <v>Budapest University of Economics and Business (BUEB/BGE)</v>
      </c>
      <c r="Y88" s="61" t="str">
        <f>IFERROR(__xludf.DUMMYFUNCTION("""COMPUTED_VALUE"""),"Yes")</f>
        <v>Yes</v>
      </c>
      <c r="Z88" s="61" t="str">
        <f>IFERROR(__xludf.DUMMYFUNCTION("""COMPUTED_VALUE"""),"Hungary")</f>
        <v>Hungary</v>
      </c>
      <c r="AA88" s="61" t="str">
        <f>IFERROR(__xludf.DUMMYFUNCTION("""COMPUTED_VALUE"""),"No")</f>
        <v>No</v>
      </c>
      <c r="AB88" s="61"/>
      <c r="AC88" s="61" t="str">
        <f>IFERROR(__xludf.DUMMYFUNCTION("""COMPUTED_VALUE"""),"Yes, I am. Through my Business Economics studies, I regularly engage with academic research, data analysis, and literature reviews to write analytical reports and economic essays.  I also applied these skills practically during my internship at the Embass"&amp;"y of the Kyrgyz Republic to Hungary, where I had to research regional developments, analyze economic trends, and synthesize complex information into clear briefings for diplomatic staff.")</f>
        <v>Yes, I am. Through my Business Economics studies, I regularly engage with academic research, data analysis, and literature reviews to write analytical reports and economic essays.  I also applied these skills practically during my internship at the Embassy of the Kyrgyz Republic to Hungary, where I had to research regional developments, analyze economic trends, and synthesize complex information into clear briefings for diplomatic staff.</v>
      </c>
      <c r="AD88" s="61" t="str">
        <f>IFERROR(__xludf.DUMMYFUNCTION("""COMPUTED_VALUE"""),"Yes, I have volunteered as a Project Manager for the Interact Club Bishkek (Rotary International) and as a Data Operations Assistant for the Red Cross Kyrgyzstan during the pandemic response.")</f>
        <v>Yes, I have volunteered as a Project Manager for the Interact Club Bishkek (Rotary International) and as a Data Operations Assistant for the Red Cross Kyrgyzstan during the pandemic response.</v>
      </c>
      <c r="AE88" s="61"/>
      <c r="AF88" s="61" t="str">
        <f>IFERROR(__xludf.DUMMYFUNCTION("""COMPUTED_VALUE"""),"Project Manager at Interact Club Bishkek and Data Operations Assistant at Red Cross Kyrgyzstan.")</f>
        <v>Project Manager at Interact Club Bishkek and Data Operations Assistant at Red Cross Kyrgyzstan.</v>
      </c>
      <c r="AG88" s="61" t="str">
        <f>IFERROR(__xludf.DUMMYFUNCTION("""COMPUTED_VALUE"""),"3-4 years")</f>
        <v>3-4 years</v>
      </c>
      <c r="AH88" s="61" t="str">
        <f>IFERROR(__xludf.DUMMYFUNCTION("""COMPUTED_VALUE"""),"No")</f>
        <v>No</v>
      </c>
      <c r="AI88" s="61"/>
      <c r="AJ88" s="61" t="str">
        <f>IFERROR(__xludf.DUMMYFUNCTION("""COMPUTED_VALUE"""),"Yes. While serving as the Minister of Culture in my school's Student Parliament, I founded a small student volunteer initiative. Recognizing that elderly people in local care homes often face isolation, I brought together a dedicated team of students to o"&amp;"rganize small-scale community events and fundraising activities. Our goal was to bring companionship and support to the residents, which taught me how to build a team from scratch around a shared social cause.")</f>
        <v>Yes. While serving as the Minister of Culture in my school's Student Parliament, I founded a small student volunteer initiative. Recognizing that elderly people in local care homes often face isolation, I brought together a dedicated team of students to organize small-scale community events and fundraising activities. Our goal was to bring companionship and support to the residents, which taught me how to build a team from scratch around a shared social cause.</v>
      </c>
      <c r="AK88" s="61" t="str">
        <f>IFERROR(__xludf.DUMMYFUNCTION("""COMPUTED_VALUE"""),"The aim of the initiative was to combat social isolation among residents of local elderly care homes. By organizing small community events and fundraising activities, we sought to provide companionship, improve their well-being, and bridge the generationa"&amp;"l gap through active youth support.")</f>
        <v>The aim of the initiative was to combat social isolation among residents of local elderly care homes. By organizing small community events and fundraising activities, we sought to provide companionship, improve their well-being, and bridge the generational gap through active youth support.</v>
      </c>
      <c r="AL88" s="61" t="str">
        <f>IFERROR(__xludf.DUMMYFUNCTION("""COMPUTED_VALUE"""),"My skillset combines high adaptability to new environments, human-centric leadership focused on team motivation, and solid project management. I also bring strong skills in cross-cultural communication, financial fundraising, and data operations under pre"&amp;"ssure. Additionally, I have practical experience in economic research, analysis, and drafting professional briefings.")</f>
        <v>My skillset combines high adaptability to new environments, human-centric leadership focused on team motivation, and solid project management. I also bring strong skills in cross-cultural communication, financial fundraising, and data operations under pressure. Additionally, I have practical experience in economic research, analysis, and drafting professional briefings.</v>
      </c>
      <c r="AM88" s="61" t="str">
        <f>IFERROR(__xludf.DUMMYFUNCTION("""COMPUTED_VALUE"""),"Askat Abdumitalipov CV 07.04.2026.docx")</f>
        <v>Askat Abdumitalipov CV 07.04.2026.docx</v>
      </c>
      <c r="AN88" s="61" t="str">
        <f>IFERROR(__xludf.DUMMYFUNCTION("""COMPUTED_VALUE"""),"Yes. To me, changing the world starts with recognizing local needs and adapting to solve them. While serving as Minister of Culture in my school’s Student Parliament, I founded a volunteer initiative to support local elderly care homes, learning how to bu"&amp;"ild and motivate teams from scratch around a shared cause. Later, as a Project Manager for the Interact Club Bishkek, I led over 50 volunteers to raise more than €6,500 for local orphanages. These experiences taught me that real impact doesn't require gra"&amp;"nd gestures; it requires taking direct responsibility, staying adaptable, and empowering the people around you.")</f>
        <v>Yes. To me, changing the world starts with recognizing local needs and adapting to solve them. While serving as Minister of Culture in my school’s Student Parliament, I founded a volunteer initiative to support local elderly care homes, learning how to build and motivate teams from scratch around a shared cause. Later, as a Project Manager for the Interact Club Bishkek, I led over 50 volunteers to raise more than €6,500 for local orphanages. These experiences taught me that real impact doesn't require grand gestures; it requires taking direct responsibility, staying adaptable, and empowering the people around you.</v>
      </c>
      <c r="AO88" s="61" t="str">
        <f>IFERROR(__xludf.DUMMYFUNCTION("""COMPUTED_VALUE"""),"I think a diplomatically significant country isn't just one with a massive military or economy, but one that knows how to act as a bridge between different worlds. Places like Switzerland or Singapore are great examples because their neutrality allows eve"&amp;"ryone to sit at the same table and talk.
To me, true diplomatic weight comes from ""soft power""—how a country uses culture, economic cooperation, and youth exchange to build trust. The most significant countries today are the ones that don't isolate the"&amp;"mselves, but instead work to bring people together and solve global problems through real conversation.")</f>
        <v>I think a diplomatically significant country isn't just one with a massive military or economy, but one that knows how to act as a bridge between different worlds. Places like Switzerland or Singapore are great examples because their neutrality allows everyone to sit at the same table and talk.
To me, true diplomatic weight comes from "soft power"—how a country uses culture, economic cooperation, and youth exchange to build trust. The most significant countries today are the ones that don't isolate themselves, but instead work to bring people together and solve global problems through real conversation.</v>
      </c>
      <c r="AP88" s="61" t="str">
        <f>IFERROR(__xludf.DUMMYFUNCTION("""COMPUTED_VALUE"""),"I think the role of youth in diplomacy is crucial, but it must be rooted in education and competence, not noise. History has shown that when people engage in political or diplomatic processes without a genuine understanding of the issues, they become vuln"&amp;"erable to manipulation and populism. True change doesn't come from just raising voices or voting blindly; it comes from informed perspective.
To me, Public Diplomacy is the bridge that solves this problem. It shouldn't be about creating a crowd that shou"&amp;"ts slogans; it should be an educational ecosystem that trains young people to analyze global trends, understand economic realities, and think critically. As great philosophers have argued throughout history, decisions that impact society should be driven "&amp;"by knowledge, not just emotion or external influence.
My relationship with Public Diplomacy is centered on this responsibility to learn before leading. As a Business Economics student and a diplomatic intern, I believe the youth's ultimate role is to gai"&amp;"n the necessary expertise so that when we speak on the international stage, our contributions are substantively valuable, strategic, and resilient to manipulation.")</f>
        <v>I think the role of youth in diplomacy is crucial, but it must be rooted in education and competence, not noise. History has shown that when people engage in political or diplomatic processes without a genuine understanding of the issues, they become vulnerable to manipulation and populism. True change doesn't come from just raising voices or voting blindly; it comes from informed perspective.
To me, Public Diplomacy is the bridge that solves this problem. It shouldn't be about creating a crowd that shouts slogans; it should be an educational ecosystem that trains young people to analyze global trends, understand economic realities, and think critically. As great philosophers have argued throughout history, decisions that impact society should be driven by knowledge, not just emotion or external influence.
My relationship with Public Diplomacy is centered on this responsibility to learn before leading. As a Business Economics student and a diplomatic intern, I believe the youth's ultimate role is to gain the necessary expertise so that when we speak on the international stage, our contributions are substantively valuable, strategic, and resilient to manipulation.</v>
      </c>
      <c r="AQ88" s="61" t="str">
        <f>IFERROR(__xludf.DUMMYFUNCTION("""COMPUTED_VALUE"""),"To me, passion isn’t just about the money or the outcome; it’s a deep, internal desire that makes you feel like you've found your true calling. It is the fuel that keeps you moving forward.
When it comes to achieving goals, passion plays a unique role. A"&amp;"chieving a goal is deeply satisfying, but it also brings a strange challenge: once you hit the finish line, that goal is gone, and you leave a piece of yourself behind in that project. If you don't find a new purpose right away, you risk just existing ins"&amp;"tead of truly living.
This is where passion helps. Because passion is about loving the journey, not just the destination, it prevents you from feeling lost after a success. It immediately drives you to find the next challenge, helping you constantly re-i"&amp;"nvent yourself and stay motivated for the next big thing.")</f>
        <v>To me, passion isn’t just about the money or the outcome; it’s a deep, internal desire that makes you feel like you've found your true calling. It is the fuel that keeps you moving forward.
When it comes to achieving goals, passion plays a unique role. Achieving a goal is deeply satisfying, but it also brings a strange challenge: once you hit the finish line, that goal is gone, and you leave a piece of yourself behind in that project. If you don't find a new purpose right away, you risk just existing instead of truly living.
This is where passion helps. Because passion is about loving the journey, not just the destination, it prevents you from feeling lost after a success. It immediately drives you to find the next challenge, helping you constantly re-invent yourself and stay motivated for the next big thing.</v>
      </c>
      <c r="AR88" s="61" t="str">
        <f>IFERROR(__xludf.DUMMYFUNCTION("""COMPUTED_VALUE"""),"Yes, I consider myself a creative person, but my creativity isn't about art—it's about problem-solving and finding unexpected ways to connect people.
To turn creativity into an effective public diplomacy strategy, you have to move away from boring, tradi"&amp;"tional lectures and use formats that actually engage the youth. For example, instead of just hosting standard conferences, an effective strategy could involve digital media, interactive cultural simulations, or global youth networking hubs where people le"&amp;"arn by doing.
Creativity works best when it serves a practical purpose: it grabs people's attention, breaks down cultural barriers, and delivers serious, educational content in a way that actually sticks.")</f>
        <v>Yes, I consider myself a creative person, but my creativity isn't about art—it's about problem-solving and finding unexpected ways to connect people.
To turn creativity into an effective public diplomacy strategy, you have to move away from boring, traditional lectures and use formats that actually engage the youth. For example, instead of just hosting standard conferences, an effective strategy could involve digital media, interactive cultural simulations, or global youth networking hubs where people learn by doing.
Creativity works best when it serves a practical purpose: it grabs people's attention, breaks down cultural barriers, and delivers serious, educational content in a way that actually sticks.</v>
      </c>
      <c r="AS88" s="61" t="str">
        <f>IFERROR(__xludf.DUMMYFUNCTION("""COMPUTED_VALUE"""),"Yes")</f>
        <v>Yes</v>
      </c>
      <c r="AT88" s="61" t="str">
        <f>IFERROR(__xludf.DUMMYFUNCTION("""COMPUTED_VALUE"""),"Yes")</f>
        <v>Yes</v>
      </c>
      <c r="AU88" s="61" t="str">
        <f>IFERROR(__xludf.DUMMYFUNCTION("""COMPUTED_VALUE"""),"Strategy, Peace &amp; Cultural Diplomacy")</f>
        <v>Strategy, Peace &amp; Cultural Diplomacy</v>
      </c>
      <c r="AV88" s="61" t="str">
        <f>IFERROR(__xludf.DUMMYFUNCTION("""COMPUTED_VALUE"""),"Through scholarship schanels")</f>
        <v>Through scholarship schanels</v>
      </c>
      <c r="AW88" s="61"/>
      <c r="AX88" s="66" t="str">
        <f>IFERROR(__xludf.DUMMYFUNCTION("""COMPUTED_VALUE"""),"Yes")</f>
        <v>Yes</v>
      </c>
      <c r="AY88" s="66">
        <f>IFERROR(__xludf.DUMMYFUNCTION("""COMPUTED_VALUE"""),15.99)</f>
        <v>15.99</v>
      </c>
      <c r="AZ88" s="61"/>
      <c r="BA88" s="61"/>
      <c r="BB88" s="61"/>
      <c r="BC88" s="61"/>
      <c r="BD88" s="61"/>
      <c r="BE88" s="61"/>
      <c r="BF88" s="61"/>
      <c r="BG88" s="61"/>
      <c r="BH88" s="61"/>
      <c r="BI88" s="61"/>
      <c r="BJ88" s="61"/>
      <c r="BK88" s="61"/>
      <c r="BL88" s="61"/>
      <c r="BM88" s="61"/>
      <c r="BN88" s="61"/>
      <c r="BO88" s="61"/>
      <c r="BP88" s="61"/>
      <c r="BQ88" s="61"/>
      <c r="BR88" s="61"/>
    </row>
    <row r="89" ht="15.75" customHeight="1">
      <c r="A89" s="61" t="str">
        <f>IFERROR(__xludf.DUMMYFUNCTION("""COMPUTED_VALUE"""),"")</f>
        <v/>
      </c>
      <c r="B89" s="62">
        <f>IFERROR(__xludf.DUMMYFUNCTION("""COMPUTED_VALUE"""),109.0)</f>
        <v>109</v>
      </c>
      <c r="C89" s="61" t="str">
        <f>IFERROR(__xludf.DUMMYFUNCTION("""COMPUTED_VALUE"""),"Self")</f>
        <v>Self</v>
      </c>
      <c r="D89" s="63" t="str">
        <f>IFERROR(__xludf.DUMMYFUNCTION("""COMPUTED_VALUE"""),"Submitted")</f>
        <v>Submitted</v>
      </c>
      <c r="E89" s="63">
        <f>IFERROR(__xludf.DUMMYFUNCTION("""COMPUTED_VALUE"""),46207.60277777778)</f>
        <v>46207.60278</v>
      </c>
      <c r="F89" s="61" t="str">
        <f>IFERROR(__xludf.DUMMYFUNCTION("""COMPUTED_VALUE"""),"Umar Salimov")</f>
        <v>Umar Salimov</v>
      </c>
      <c r="G89" s="61" t="str">
        <f>IFERROR(__xludf.DUMMYFUNCTION("""COMPUTED_VALUE"""),"Umar Salimov")</f>
        <v>Umar Salimov</v>
      </c>
      <c r="H89" s="61" t="str">
        <f>IFERROR(__xludf.DUMMYFUNCTION("""COMPUTED_VALUE"""),"salimov2527@gamil.com")</f>
        <v>salimov2527@gamil.com</v>
      </c>
      <c r="I89" s="61" t="str">
        <f>IFERROR(__xludf.DUMMYFUNCTION("""COMPUTED_VALUE"""),"salimov.umar.08@gmail.com")</f>
        <v>salimov.umar.08@gmail.com</v>
      </c>
      <c r="J89" s="61" t="str">
        <f>IFERROR(__xludf.DUMMYFUNCTION("""COMPUTED_VALUE"""),"Deira, Dubai, United Arab Emirates")</f>
        <v>Deira, Dubai, United Arab Emirates</v>
      </c>
      <c r="K89" s="61" t="str">
        <f>IFERROR(__xludf.DUMMYFUNCTION("""COMPUTED_VALUE"""),"Tajikistan")</f>
        <v>Tajikistan</v>
      </c>
      <c r="L89" s="64" t="str">
        <f>IFERROR(__xludf.DUMMYFUNCTION("""COMPUTED_VALUE"""),"+97150507415")</f>
        <v>+97150507415</v>
      </c>
      <c r="M89" s="64">
        <f>IFERROR(__xludf.DUMMYFUNCTION("""COMPUTED_VALUE"""),37772.0)</f>
        <v>37772</v>
      </c>
      <c r="N89" s="61" t="str">
        <f>IFERROR(__xludf.DUMMYFUNCTION("""COMPUTED_VALUE"""),"403298289")</f>
        <v>403298289</v>
      </c>
      <c r="O89" s="61" t="str">
        <f>IFERROR(__xludf.DUMMYFUNCTION("""COMPUTED_VALUE"""),"+992935372424")</f>
        <v>+992935372424</v>
      </c>
      <c r="P89" s="67" t="str">
        <f>IFERROR(__xludf.DUMMYFUNCTION("""COMPUTED_VALUE"""),"https://www.linkedin.com/in/umar-salimov-848a0a382?utm_source=share_via&amp;utm_content=profile&amp;utm_medium=member_ios")</f>
        <v>https://www.linkedin.com/in/umar-salimov-848a0a382?utm_source=share_via&amp;utm_content=profile&amp;utm_medium=member_ios</v>
      </c>
      <c r="Q89" s="67" t="str">
        <f>IFERROR(__xludf.DUMMYFUNCTION("""COMPUTED_VALUE"""),"https://www.instagram.com/salimov__u__?igsh=MWo5N3Z1amc4eDhzbg%3D%3D&amp;utm_source=qr")</f>
        <v>https://www.instagram.com/salimov__u__?igsh=MWo5N3Z1amc4eDhzbg%3D%3D&amp;utm_source=qr</v>
      </c>
      <c r="R89" s="61"/>
      <c r="S89" s="61" t="str">
        <f>IFERROR(__xludf.DUMMYFUNCTION("""COMPUTED_VALUE"""),"IMG_0090.jpeg")</f>
        <v>IMG_0090.jpeg</v>
      </c>
      <c r="T89" s="61" t="str">
        <f>IFERROR(__xludf.DUMMYFUNCTION("""COMPUTED_VALUE"""),"IMG_0091.jpeg")</f>
        <v>IMG_0091.jpeg</v>
      </c>
      <c r="U89" s="61" t="str">
        <f>IFERROR(__xludf.DUMMYFUNCTION("""COMPUTED_VALUE"""),"Bachelor")</f>
        <v>Bachelor</v>
      </c>
      <c r="V89" s="61" t="str">
        <f>IFERROR(__xludf.DUMMYFUNCTION("""COMPUTED_VALUE"""),"Bachelor")</f>
        <v>Bachelor</v>
      </c>
      <c r="W89" s="61" t="str">
        <f>IFERROR(__xludf.DUMMYFUNCTION("""COMPUTED_VALUE"""),"Accountant")</f>
        <v>Accountant</v>
      </c>
      <c r="X89" s="61" t="str">
        <f>IFERROR(__xludf.DUMMYFUNCTION("""COMPUTED_VALUE"""),"Pedagogical University in Rasht, Tajikistan")</f>
        <v>Pedagogical University in Rasht, Tajikistan</v>
      </c>
      <c r="Y89" s="61" t="str">
        <f>IFERROR(__xludf.DUMMYFUNCTION("""COMPUTED_VALUE"""),"No")</f>
        <v>No</v>
      </c>
      <c r="Z89" s="61" t="str">
        <f>IFERROR(__xludf.DUMMYFUNCTION("""COMPUTED_VALUE"""),"Tajikistan")</f>
        <v>Tajikistan</v>
      </c>
      <c r="AA89" s="61" t="str">
        <f>IFERROR(__xludf.DUMMYFUNCTION("""COMPUTED_VALUE"""),"Yes")</f>
        <v>Yes</v>
      </c>
      <c r="AB89" s="61" t="str">
        <f>IFERROR(__xludf.DUMMYFUNCTION("""COMPUTED_VALUE"""),"Sahid Polytechnic (Politeknik Sahid), Indonesia - DARMASISWA")</f>
        <v>Sahid Polytechnic (Politeknik Sahid), Indonesia - DARMASISWA</v>
      </c>
      <c r="AC89" s="61" t="str">
        <f>IFERROR(__xludf.DUMMYFUNCTION("""COMPUTED_VALUE"""),"I have basic experience with academic research through my university studies and enjoy learning through research and analysis.")</f>
        <v>I have basic experience with academic research through my university studies and enjoy learning through research and analysis.</v>
      </c>
      <c r="AD89" s="61" t="str">
        <f>IFERROR(__xludf.DUMMYFUNCTION("""COMPUTED_VALUE"""),"American Spaces Tajikistan")</f>
        <v>American Spaces Tajikistan</v>
      </c>
      <c r="AE89" s="65" t="str">
        <f>IFERROR(__xludf.DUMMYFUNCTION("""COMPUTED_VALUE"""),"https://www.facebook.com/asdushanbe")</f>
        <v>https://www.facebook.com/asdushanbe</v>
      </c>
      <c r="AF89" s="61" t="str">
        <f>IFERROR(__xludf.DUMMYFUNCTION("""COMPUTED_VALUE"""),"Head of youth volunteers")</f>
        <v>Head of youth volunteers</v>
      </c>
      <c r="AG89" s="61" t="str">
        <f>IFERROR(__xludf.DUMMYFUNCTION("""COMPUTED_VALUE"""),"2018-2023")</f>
        <v>2018-2023</v>
      </c>
      <c r="AH89" s="61" t="str">
        <f>IFERROR(__xludf.DUMMYFUNCTION("""COMPUTED_VALUE"""),"Yes")</f>
        <v>Yes</v>
      </c>
      <c r="AI89" s="61" t="str">
        <f>IFERROR(__xludf.DUMMYFUNCTION("""COMPUTED_VALUE"""),"Stand Admin, Concierge")</f>
        <v>Stand Admin, Concierge</v>
      </c>
      <c r="AJ89" s="61" t="str">
        <f>IFERROR(__xludf.DUMMYFUNCTION("""COMPUTED_VALUE"""),"NO")</f>
        <v>NO</v>
      </c>
      <c r="AK89" s="61"/>
      <c r="AL89" s="61" t="str">
        <f>IFERROR(__xludf.DUMMYFUNCTION("""COMPUTED_VALUE"""),"Communication &amp; Interpersonal Skills, Problem Solving, Multitasking, Teamwork, Reliability &amp; Punctuality, Adaptability &amp; Flexibility")</f>
        <v>Communication &amp; Interpersonal Skills, Problem Solving, Multitasking, Teamwork, Reliability &amp; Punctuality, Adaptability &amp; Flexibility</v>
      </c>
      <c r="AM89" s="61" t="str">
        <f>IFERROR(__xludf.DUMMYFUNCTION("""COMPUTED_VALUE"""),"UmarSalimov .pdf")</f>
        <v>UmarSalimov .pdf</v>
      </c>
      <c r="AN89" s="61" t="str">
        <f>IFERROR(__xludf.DUMMYFUNCTION("""COMPUTED_VALUE"""),"Yes, I have. I believe changing the world starts with making a difference in your own community. During my time in Tajikistan and Indonesia, I volunteered in youth and educational activities where I helped organize events and encouraged young people to de"&amp;"velop new skills. I also created social media content about scholarships, exchange programs, and free learning opportunities to help students who may not know these opportunities exist. By sharing information and supporting others, I hope to inspire more "&amp;"young people to study abroad, connect with different cultures, and contribute positively to their communities.")</f>
        <v>Yes, I have. I believe changing the world starts with making a difference in your own community. During my time in Tajikistan and Indonesia, I volunteered in youth and educational activities where I helped organize events and encouraged young people to develop new skills. I also created social media content about scholarships, exchange programs, and free learning opportunities to help students who may not know these opportunities exist. By sharing information and supporting others, I hope to inspire more young people to study abroad, connect with different cultures, and contribute positively to their communities.</v>
      </c>
      <c r="AO89" s="61" t="str">
        <f>IFERROR(__xludf.DUMMYFUNCTION("""COMPUTED_VALUE"""),"I believe Indonesia is one of the most diplomatically significant countries today. It connects Asia with the rest of the world and plays an important role in regional peace and cooperation. As the largest economy in Southeast Asia and a founding member of"&amp;" ASEAN, Indonesia promotes dialogue, tolerance, and international partnerships. After studying and living there through the DARMASISWA scholarship, I experienced its cultural diversity and welcoming society firsthand. Indonesia shows that diplomacy is not"&amp;" only about politics but also about education, culture, and people-to-people connections that strengthen relationships between nations.")</f>
        <v>I believe Indonesia is one of the most diplomatically significant countries today. It connects Asia with the rest of the world and plays an important role in regional peace and cooperation. As the largest economy in Southeast Asia and a founding member of ASEAN, Indonesia promotes dialogue, tolerance, and international partnerships. After studying and living there through the DARMASISWA scholarship, I experienced its cultural diversity and welcoming society firsthand. Indonesia shows that diplomacy is not only about politics but also about education, culture, and people-to-people connections that strengthen relationships between nations.</v>
      </c>
      <c r="AP89" s="61" t="str">
        <f>IFERROR(__xludf.DUMMYFUNCTION("""COMPUTED_VALUE"""),"Governments negotiate treaties. Young people negotiate everyday life across cultures — in classrooms, group chats, internships, comment sections. That’s a different kind of diplomacy, but it’s not a lesser one. It’s often the layer that makes the formal k"&amp;"ind possible, because it builds the baseline trust and curiosity that treaties alone can’t create.
I didn’t plan to end up doing public diplomacy — it happened as a byproduct of just living an international life. Studying in Indonesia, interning at The We"&amp;"stin Bali, volunteering with youth in Tajikistan: none of that was framed as “diplomacy” at the time, it was just me trying to understand places that weren’t home yet. Somewhere in that process I realized the understanding itself was the point.
Turning th"&amp;"at into content — sharing scholarships and exchange opportunities online — was the natural next step. It’s public diplomacy at its most literal: taking what I learned by accident and making it accessible to people who’d otherwise never come across it.
Tha"&amp;"t’s the role I see for youth: not replacing formal diplomacy, but supplying it with something it structurally can’t generate on its own — reach into ordinary people’s lives.")</f>
        <v>Governments negotiate treaties. Young people negotiate everyday life across cultures — in classrooms, group chats, internships, comment sections. That’s a different kind of diplomacy, but it’s not a lesser one. It’s often the layer that makes the formal kind possible, because it builds the baseline trust and curiosity that treaties alone can’t create.
I didn’t plan to end up doing public diplomacy — it happened as a byproduct of just living an international life. Studying in Indonesia, interning at The Westin Bali, volunteering with youth in Tajikistan: none of that was framed as “diplomacy” at the time, it was just me trying to understand places that weren’t home yet. Somewhere in that process I realized the understanding itself was the point.
Turning that into content — sharing scholarships and exchange opportunities online — was the natural next step. It’s public diplomacy at its most literal: taking what I learned by accident and making it accessible to people who’d otherwise never come across it.
That’s the role I see for youth: not replacing formal diplomacy, but supplying it with something it structurally can’t generate on its own — reach into ordinary people’s lives.</v>
      </c>
      <c r="AQ89" s="61" t="str">
        <f>IFERROR(__xludf.DUMMYFUNCTION("""COMPUTED_VALUE"""),"Passion, to me, isn’t the feeling I have when things go well — it’s the reason I don’t quit when they don’t. It’s what got me through the parts of studying and living abroad that weren’t photogenic: bureaucracy, homesickness, a job in a language I was sti"&amp;"ll learning.
What I’m passionate about, specifically, is the moment someone realizes an opportunity that felt out of reach — a scholarship, an internship, a program abroad — is actually within their grasp. I’ve been on both sides of that moment: as the st"&amp;"udent who found out DARMASISWA existed almost too late, and now as the person posting that same information earlier, for someone else.
That’s what passion does for goals — it gives you a reason to keep going that has nothing to do with recognition. It’s j"&amp;"ust unfinished business you care about.")</f>
        <v>Passion, to me, isn’t the feeling I have when things go well — it’s the reason I don’t quit when they don’t. It’s what got me through the parts of studying and living abroad that weren’t photogenic: bureaucracy, homesickness, a job in a language I was still learning.
What I’m passionate about, specifically, is the moment someone realizes an opportunity that felt out of reach — a scholarship, an internship, a program abroad — is actually within their grasp. I’ve been on both sides of that moment: as the student who found out DARMASISWA existed almost too late, and now as the person posting that same information earlier, for someone else.
That’s what passion does for goals — it gives you a reason to keep going that has nothing to do with recognition. It’s just unfinished business you care about.</v>
      </c>
      <c r="AR89" s="61" t="str">
        <f>IFERROR(__xludf.DUMMYFUNCTION("""COMPUTED_VALUE"""),"Yes, I consider myself a creative person because I enjoy finding simple ways to connect people with opportunities and new ideas. Creativity is not only about art or design; it is also about solving problems and communicating in ways that people understand"&amp;" and remember.
One example is my social media platform, where I share scholarships, educational programs, and international opportunities. I present information in a clear and accessible way so more young people can benefit from it. This allows me to rea"&amp;"ch people from different backgrounds and encourage them to think globally.
I believe creativity can become an effective public diplomacy strategy by making international cooperation more relatable. Instead of focusing only on official meetings, diplomacy"&amp;" can also happen through storytelling, cultural experiences, social media campaigns, and educational projects. These approaches help build trust and mutual understanding between people from different countries.
In the future, I want to combine my interna"&amp;"tional experiences with digital communication to promote cultural exchange, education, and dialogue. By sharing real stories, encouraging collaboration, and highlighting diverse perspectives, I hope to inspire more young people to become active global cit"&amp;"izens and strengthen connections across cultures.")</f>
        <v>Yes, I consider myself a creative person because I enjoy finding simple ways to connect people with opportunities and new ideas. Creativity is not only about art or design; it is also about solving problems and communicating in ways that people understand and remember.
One example is my social media platform, where I share scholarships, educational programs, and international opportunities. I present information in a clear and accessible way so more young people can benefit from it. This allows me to reach people from different backgrounds and encourage them to think globally.
I believe creativity can become an effective public diplomacy strategy by making international cooperation more relatable. Instead of focusing only on official meetings, diplomacy can also happen through storytelling, cultural experiences, social media campaigns, and educational projects. These approaches help build trust and mutual understanding between people from different countries.
In the future, I want to combine my international experiences with digital communication to promote cultural exchange, education, and dialogue. By sharing real stories, encouraging collaboration, and highlighting diverse perspectives, I hope to inspire more young people to become active global citizens and strengthen connections across cultures.</v>
      </c>
      <c r="AS89" s="61" t="str">
        <f>IFERROR(__xludf.DUMMYFUNCTION("""COMPUTED_VALUE"""),"Yes")</f>
        <v>Yes</v>
      </c>
      <c r="AT89" s="61" t="str">
        <f>IFERROR(__xludf.DUMMYFUNCTION("""COMPUTED_VALUE"""),"No")</f>
        <v>No</v>
      </c>
      <c r="AU89" s="61" t="str">
        <f>IFERROR(__xludf.DUMMYFUNCTION("""COMPUTED_VALUE"""),"Arts, Culture &amp; Soft Power")</f>
        <v>Arts, Culture &amp; Soft Power</v>
      </c>
      <c r="AV89" s="61" t="str">
        <f>IFERROR(__xludf.DUMMYFUNCTION("""COMPUTED_VALUE"""),"Friend")</f>
        <v>Friend</v>
      </c>
      <c r="AW89" s="61" t="str">
        <f>IFERROR(__xludf.DUMMYFUNCTION("""COMPUTED_VALUE"""),"Public Diplomacy in the 21st Century")</f>
        <v>Public Diplomacy in the 21st Century</v>
      </c>
      <c r="AX89" s="66" t="str">
        <f>IFERROR(__xludf.DUMMYFUNCTION("""COMPUTED_VALUE"""),"Yes")</f>
        <v>Yes</v>
      </c>
      <c r="AY89" s="66">
        <f>IFERROR(__xludf.DUMMYFUNCTION("""COMPUTED_VALUE"""),15.99)</f>
        <v>15.99</v>
      </c>
      <c r="AZ89" s="61"/>
      <c r="BA89" s="61"/>
      <c r="BB89" s="61"/>
      <c r="BC89" s="61"/>
      <c r="BD89" s="61"/>
      <c r="BE89" s="61"/>
      <c r="BF89" s="61"/>
      <c r="BG89" s="61"/>
      <c r="BH89" s="61"/>
      <c r="BI89" s="61"/>
      <c r="BJ89" s="61"/>
      <c r="BK89" s="61"/>
      <c r="BL89" s="61"/>
      <c r="BM89" s="61"/>
      <c r="BN89" s="61"/>
      <c r="BO89" s="61"/>
      <c r="BP89" s="61"/>
      <c r="BQ89" s="61"/>
      <c r="BR89" s="61"/>
    </row>
    <row r="90" ht="15.75" customHeight="1">
      <c r="A90" s="61" t="str">
        <f>IFERROR(__xludf.DUMMYFUNCTION("""COMPUTED_VALUE"""),"Partial")</f>
        <v>Partial</v>
      </c>
      <c r="B90" s="62">
        <f>IFERROR(__xludf.DUMMYFUNCTION("""COMPUTED_VALUE"""),110.0)</f>
        <v>110</v>
      </c>
      <c r="C90" s="61" t="str">
        <f>IFERROR(__xludf.DUMMYFUNCTION("""COMPUTED_VALUE"""),"Partial")</f>
        <v>Partial</v>
      </c>
      <c r="D90" s="63" t="str">
        <f>IFERROR(__xludf.DUMMYFUNCTION("""COMPUTED_VALUE"""),"Submitted")</f>
        <v>Submitted</v>
      </c>
      <c r="E90" s="63">
        <f>IFERROR(__xludf.DUMMYFUNCTION("""COMPUTED_VALUE"""),46207.60763888889)</f>
        <v>46207.60764</v>
      </c>
      <c r="F90" s="61" t="str">
        <f>IFERROR(__xludf.DUMMYFUNCTION("""COMPUTED_VALUE"""),"Yeman Welay")</f>
        <v>Yeman Welay</v>
      </c>
      <c r="G90" s="61" t="str">
        <f>IFERROR(__xludf.DUMMYFUNCTION("""COMPUTED_VALUE"""),"Yemane Dagnew Welay")</f>
        <v>Yemane Dagnew Welay</v>
      </c>
      <c r="H90" s="61" t="str">
        <f>IFERROR(__xludf.DUMMYFUNCTION("""COMPUTED_VALUE"""),"dagnewyemane273@gmail.com")</f>
        <v>dagnewyemane273@gmail.com</v>
      </c>
      <c r="I90" s="61" t="str">
        <f>IFERROR(__xludf.DUMMYFUNCTION("""COMPUTED_VALUE"""),"silaskinfe0@gmail.com")</f>
        <v>silaskinfe0@gmail.com</v>
      </c>
      <c r="J90" s="61" t="str">
        <f>IFERROR(__xludf.DUMMYFUNCTION("""COMPUTED_VALUE"""),"Shire Endasilase, Ethiopia")</f>
        <v>Shire Endasilase, Ethiopia</v>
      </c>
      <c r="K90" s="61" t="str">
        <f>IFERROR(__xludf.DUMMYFUNCTION("""COMPUTED_VALUE"""),"Ethiopian")</f>
        <v>Ethiopian</v>
      </c>
      <c r="L90" s="64" t="str">
        <f>IFERROR(__xludf.DUMMYFUNCTION("""COMPUTED_VALUE"""),"+251914176578")</f>
        <v>+251914176578</v>
      </c>
      <c r="M90" s="64">
        <f>IFERROR(__xludf.DUMMYFUNCTION("""COMPUTED_VALUE"""),31831.0)</f>
        <v>31831</v>
      </c>
      <c r="N90" s="61" t="str">
        <f>IFERROR(__xludf.DUMMYFUNCTION("""COMPUTED_VALUE"""),"EQ2077405")</f>
        <v>EQ2077405</v>
      </c>
      <c r="O90" s="61" t="str">
        <f>IFERROR(__xludf.DUMMYFUNCTION("""COMPUTED_VALUE"""),"Silas Kinfe Gebrekidan")</f>
        <v>Silas Kinfe Gebrekidan</v>
      </c>
      <c r="P90" s="61" t="str">
        <f>IFERROR(__xludf.DUMMYFUNCTION("""COMPUTED_VALUE"""),"Yemane Dagnew")</f>
        <v>Yemane Dagnew</v>
      </c>
      <c r="Q90" s="61" t="str">
        <f>IFERROR(__xludf.DUMMYFUNCTION("""COMPUTED_VALUE"""),"Yemane Dagnew")</f>
        <v>Yemane Dagnew</v>
      </c>
      <c r="R90" s="61" t="str">
        <f>IFERROR(__xludf.DUMMYFUNCTION("""COMPUTED_VALUE"""),"Yemane Dagnew")</f>
        <v>Yemane Dagnew</v>
      </c>
      <c r="S90" s="61" t="str">
        <f>IFERROR(__xludf.DUMMYFUNCTION("""COMPUTED_VALUE"""),"IMG_20260625_032132_032.jpg")</f>
        <v>IMG_20260625_032132_032.jpg</v>
      </c>
      <c r="T90" s="61" t="str">
        <f>IFERROR(__xludf.DUMMYFUNCTION("""COMPUTED_VALUE"""),"IMG_20260625_032137_832.jpg")</f>
        <v>IMG_20260625_032137_832.jpg</v>
      </c>
      <c r="U90" s="61" t="str">
        <f>IFERROR(__xludf.DUMMYFUNCTION("""COMPUTED_VALUE"""),"Bachelors")</f>
        <v>Bachelors</v>
      </c>
      <c r="V90" s="61" t="str">
        <f>IFERROR(__xludf.DUMMYFUNCTION("""COMPUTED_VALUE"""),"Foreign Languages and Literature/English")</f>
        <v>Foreign Languages and Literature/English</v>
      </c>
      <c r="W90" s="61"/>
      <c r="X90" s="61" t="str">
        <f>IFERROR(__xludf.DUMMYFUNCTION("""COMPUTED_VALUE"""),"Mekelle University")</f>
        <v>Mekelle University</v>
      </c>
      <c r="Y90" s="61" t="str">
        <f>IFERROR(__xludf.DUMMYFUNCTION("""COMPUTED_VALUE"""),"No")</f>
        <v>No</v>
      </c>
      <c r="Z90" s="61" t="str">
        <f>IFERROR(__xludf.DUMMYFUNCTION("""COMPUTED_VALUE"""),"Ethiopia")</f>
        <v>Ethiopia</v>
      </c>
      <c r="AA90" s="61" t="str">
        <f>IFERROR(__xludf.DUMMYFUNCTION("""COMPUTED_VALUE"""),"No")</f>
        <v>No</v>
      </c>
      <c r="AB90" s="61"/>
      <c r="AC90" s="61" t="str">
        <f>IFERROR(__xludf.DUMMYFUNCTION("""COMPUTED_VALUE"""),"yes")</f>
        <v>yes</v>
      </c>
      <c r="AD90" s="61" t="str">
        <f>IFERROR(__xludf.DUMMYFUNCTION("""COMPUTED_VALUE"""),"No")</f>
        <v>No</v>
      </c>
      <c r="AE90" s="61"/>
      <c r="AF90" s="61"/>
      <c r="AG90" s="61"/>
      <c r="AH90" s="61" t="str">
        <f>IFERROR(__xludf.DUMMYFUNCTION("""COMPUTED_VALUE"""),"Yes")</f>
        <v>Yes</v>
      </c>
      <c r="AI90" s="61"/>
      <c r="AJ90" s="61"/>
      <c r="AK90" s="61"/>
      <c r="AL90" s="61"/>
      <c r="AM90" s="61" t="str">
        <f>IFERROR(__xludf.DUMMYFUNCTION("""COMPUTED_VALUE"""),"Yemane Eu CV 01.docx")</f>
        <v>Yemane Eu CV 01.docx</v>
      </c>
      <c r="AN90" s="61" t="str">
        <f>IFERROR(__xludf.DUMMYFUNCTION("""COMPUTED_VALUE"""),"Yes, I always believe in making positive change to the world and my community. In my community, I have supported people by sharing information about educational opportunities, scholarships, and humanitarian programs.  I served as a teacher and community w"&amp;"orker supporting people to change their lives and understand the world. I also enjoy helping individuals overcome language barriers through translation and interpretation whenever possible. I encourage young people to continue learning and applying for in"&amp;"ternational opportunities that broaden their perspectives. l am committed and believe that creating opportunities, cooperation and creating meaningful change.")</f>
        <v>Yes, I always believe in making positive change to the world and my community. In my community, I have supported people by sharing information about educational opportunities, scholarships, and humanitarian programs.  I served as a teacher and community worker supporting people to change their lives and understand the world. I also enjoy helping individuals overcome language barriers through translation and interpretation whenever possible. I encourage young people to continue learning and applying for international opportunities that broaden their perspectives. l am committed and believe that creating opportunities, cooperation and creating meaningful change.</v>
      </c>
      <c r="AO90" s="61" t="str">
        <f>IFERROR(__xludf.DUMMYFUNCTION("""COMPUTED_VALUE"""),"I believe no single country is the most diplomatically significant because today's global challenges require cooperation among many nations. Diplomatic significance is measured not only by economic or military power but also by the ability to build trust "&amp;"and encourage cooperation, Indonesia stands out as an important diplomatic actor because of its leadership in ASEAN, its commitment to peaceful dialogue, and its role in connecting developed and developing countries. As one of the world's largest democrac"&amp;"ies with a diverse population, Indonesia promotes regional stability and international cooperation. I believe countries that encourage dialogue, mutual respect, and collaboration make the greatest contribution to diplomacy and global peace")</f>
        <v>I believe no single country is the most diplomatically significant because today's global challenges require cooperation among many nations. Diplomatic significance is measured not only by economic or military power but also by the ability to build trust and encourage cooperation, Indonesia stands out as an important diplomatic actor because of its leadership in ASEAN, its commitment to peaceful dialogue, and its role in connecting developed and developing countries. As one of the world's largest democracies with a diverse population, Indonesia promotes regional stability and international cooperation. I believe countries that encourage dialogue, mutual respect, and collaboration make the greatest contribution to diplomacy and global peace</v>
      </c>
      <c r="AP90" s="61" t="str">
        <f>IFERROR(__xludf.DUMMYFUNCTION("""COMPUTED_VALUE"""),"Young people are essential to diplomacy because they bring new ideas, creativity, and a willingness to collaborate across cultures. Through education, social media, volunteer work, and international exchanges, youth can build understanding between communi"&amp;"ties and help reduce prejudice and conflict.
Public diplomacy is about connecting people, not only governments. It promotes mutual understanding through culture, education, communication, and cooperation. I strongly relate to this idea because I believe m"&amp;"eaningful relationships between ordinary citizens are the foundation of lasting peace.
As someone interested in humanitarian work and language interpretation, I understand the importance of communication in building trust. Language allows people from diff"&amp;"erent backgrounds to understand one another and work together toward common goals. I hope to use my skills to encourage intercultural dialogue, support international cooperation, and promote respect for diversity.
Participating in the Young Public Diploma"&amp;"cy Summit would help me gain practical knowledge, exchange ideas with young leaders from around the world, and apply what I learn to promote peace, inclusion, and sustainable development in my community and beyond.")</f>
        <v>Young people are essential to diplomacy because they bring new ideas, creativity, and a willingness to collaborate across cultures. Through education, social media, volunteer work, and international exchanges, youth can build understanding between communities and help reduce prejudice and conflict.
Public diplomacy is about connecting people, not only governments. It promotes mutual understanding through culture, education, communication, and cooperation. I strongly relate to this idea because I believe meaningful relationships between ordinary citizens are the foundation of lasting peace.
As someone interested in humanitarian work and language interpretation, I understand the importance of communication in building trust. Language allows people from different backgrounds to understand one another and work together toward common goals. I hope to use my skills to encourage intercultural dialogue, support international cooperation, and promote respect for diversity.
Participating in the Young Public Diplomacy Summit would help me gain practical knowledge, exchange ideas with young leaders from around the world, and apply what I learn to promote peace, inclusion, and sustainable development in my community and beyond.</v>
      </c>
      <c r="AQ90" s="61" t="str">
        <f>IFERROR(__xludf.DUMMYFUNCTION("""COMPUTED_VALUE"""),"Passion is the inner motivation that keeps a person moving forward. It gives purpose, encourages continuous learning, and inspires perseverance. For me, passion means serving others, learning new skills, and contributing to my community through communicat"&amp;"ion and international cooperation. These interests have inspired me to improve my skills, seek educational opportunities, participate in international learning programs and prepare for a career where I can contribute to peacebuilding and community develop"&amp;"ment.
I believe passion alone is not enough; it must be combined with hard work, integrity, and continuous learning. Together, these qualities help transform dreams into meaningful achievements that benefit both individuals and society")</f>
        <v>Passion is the inner motivation that keeps a person moving forward. It gives purpose, encourages continuous learning, and inspires perseverance. For me, passion means serving others, learning new skills, and contributing to my community through communication and international cooperation. These interests have inspired me to improve my skills, seek educational opportunities, participate in international learning programs and prepare for a career where I can contribute to peacebuilding and community development.
I believe passion alone is not enough; it must be combined with hard work, integrity, and continuous learning. Together, these qualities help transform dreams into meaningful achievements that benefit both individuals and society</v>
      </c>
      <c r="AR90" s="61" t="str">
        <f>IFERROR(__xludf.DUMMYFUNCTION("""COMPUTED_VALUE"""),"Yes, I consider myself a creative person because I enjoy finding practical ways to connect with people and share knowledge. Creativity in public diplomacy is not only about artistic expression but also about developing innovative ways to build understandi"&amp;"ng across cultures. If given the opportunity, I would use digital platforms, storytelling, community discussions, and cultural exchange activities to promote dialogue among young people from different countries. I believe personal stories and respectful c"&amp;"onversations can reduce stereotypes and encourage empathy.
My background in language and communication would help me create messages that are inclusive and accessible to diverse audiences. I would also encourage collaborative projects where young people w"&amp;"ork together on common challenges such as education, peacebuilding, environmental sustainability, and community development. An effective public diplomacy strategy should be based on listening, respect, and collaboration rather than persuasion alone. By c"&amp;"ombining creativity with cultural sensitivity and open communication, we can build stronger international friendships and encourage cooperation that benefits everyone")</f>
        <v>Yes, I consider myself a creative person because I enjoy finding practical ways to connect with people and share knowledge. Creativity in public diplomacy is not only about artistic expression but also about developing innovative ways to build understanding across cultures. If given the opportunity, I would use digital platforms, storytelling, community discussions, and cultural exchange activities to promote dialogue among young people from different countries. I believe personal stories and respectful conversations can reduce stereotypes and encourage empathy.
My background in language and communication would help me create messages that are inclusive and accessible to diverse audiences. I would also encourage collaborative projects where young people work together on common challenges such as education, peacebuilding, environmental sustainability, and community development. An effective public diplomacy strategy should be based on listening, respect, and collaboration rather than persuasion alone. By combining creativity with cultural sensitivity and open communication, we can build stronger international friendships and encourage cooperation that benefits everyone</v>
      </c>
      <c r="AS90" s="61" t="str">
        <f>IFERROR(__xludf.DUMMYFUNCTION("""COMPUTED_VALUE"""),"Yes")</f>
        <v>Yes</v>
      </c>
      <c r="AT90" s="61" t="str">
        <f>IFERROR(__xludf.DUMMYFUNCTION("""COMPUTED_VALUE"""),"Yes")</f>
        <v>Yes</v>
      </c>
      <c r="AU90" s="61" t="str">
        <f>IFERROR(__xludf.DUMMYFUNCTION("""COMPUTED_VALUE"""),"International Public Service Relations")</f>
        <v>International Public Service Relations</v>
      </c>
      <c r="AV90" s="61" t="str">
        <f>IFERROR(__xludf.DUMMYFUNCTION("""COMPUTED_VALUE"""),"Scholarship portal")</f>
        <v>Scholarship portal</v>
      </c>
      <c r="AW90" s="61" t="str">
        <f>IFERROR(__xludf.DUMMYFUNCTION("""COMPUTED_VALUE"""),"public diplomacy in the 21st century")</f>
        <v>public diplomacy in the 21st century</v>
      </c>
      <c r="AX90" s="66" t="str">
        <f>IFERROR(__xludf.DUMMYFUNCTION("""COMPUTED_VALUE"""),"Yes")</f>
        <v>Yes</v>
      </c>
      <c r="AY90" s="66">
        <f>IFERROR(__xludf.DUMMYFUNCTION("""COMPUTED_VALUE"""),15.99)</f>
        <v>15.99</v>
      </c>
      <c r="AZ90" s="61"/>
      <c r="BA90" s="61"/>
      <c r="BB90" s="61"/>
      <c r="BC90" s="61"/>
      <c r="BD90" s="61"/>
      <c r="BE90" s="61"/>
      <c r="BF90" s="61"/>
      <c r="BG90" s="61"/>
      <c r="BH90" s="61"/>
      <c r="BI90" s="61"/>
      <c r="BJ90" s="61"/>
      <c r="BK90" s="61"/>
      <c r="BL90" s="61"/>
      <c r="BM90" s="61"/>
      <c r="BN90" s="61"/>
      <c r="BO90" s="61"/>
      <c r="BP90" s="61"/>
      <c r="BQ90" s="61"/>
      <c r="BR90" s="61"/>
    </row>
    <row r="91" ht="15.75" customHeight="1">
      <c r="A91" s="61" t="str">
        <f>IFERROR(__xludf.DUMMYFUNCTION("""COMPUTED_VALUE"""),"")</f>
        <v/>
      </c>
      <c r="B91" s="62">
        <f>IFERROR(__xludf.DUMMYFUNCTION("""COMPUTED_VALUE"""),111.0)</f>
        <v>111</v>
      </c>
      <c r="C91" s="61" t="str">
        <f>IFERROR(__xludf.DUMMYFUNCTION("""COMPUTED_VALUE"""),"Self")</f>
        <v>Self</v>
      </c>
      <c r="D91" s="63" t="str">
        <f>IFERROR(__xludf.DUMMYFUNCTION("""COMPUTED_VALUE"""),"Submitted")</f>
        <v>Submitted</v>
      </c>
      <c r="E91" s="63">
        <f>IFERROR(__xludf.DUMMYFUNCTION("""COMPUTED_VALUE"""),46207.61597222222)</f>
        <v>46207.61597</v>
      </c>
      <c r="F91" s="61" t="str">
        <f>IFERROR(__xludf.DUMMYFUNCTION("""COMPUTED_VALUE"""),"Diksha Ranjan")</f>
        <v>Diksha Ranjan</v>
      </c>
      <c r="G91" s="61" t="str">
        <f>IFERROR(__xludf.DUMMYFUNCTION("""COMPUTED_VALUE"""),"Diksha Ranjan")</f>
        <v>Diksha Ranjan</v>
      </c>
      <c r="H91" s="61" t="str">
        <f>IFERROR(__xludf.DUMMYFUNCTION("""COMPUTED_VALUE"""),"diksharanjan0001@gmail.com")</f>
        <v>diksharanjan0001@gmail.com</v>
      </c>
      <c r="I91" s="61" t="str">
        <f>IFERROR(__xludf.DUMMYFUNCTION("""COMPUTED_VALUE"""),"diksharanjan2026@gmail.com")</f>
        <v>diksharanjan2026@gmail.com</v>
      </c>
      <c r="J91" s="61" t="str">
        <f>IFERROR(__xludf.DUMMYFUNCTION("""COMPUTED_VALUE"""),"New Delhi, Delhi, India")</f>
        <v>New Delhi, Delhi, India</v>
      </c>
      <c r="K91" s="61" t="str">
        <f>IFERROR(__xludf.DUMMYFUNCTION("""COMPUTED_VALUE"""),"Indian")</f>
        <v>Indian</v>
      </c>
      <c r="L91" s="64" t="str">
        <f>IFERROR(__xludf.DUMMYFUNCTION("""COMPUTED_VALUE"""),"9818581177")</f>
        <v>9818581177</v>
      </c>
      <c r="M91" s="64">
        <f>IFERROR(__xludf.DUMMYFUNCTION("""COMPUTED_VALUE"""),34756.0)</f>
        <v>34756</v>
      </c>
      <c r="N91" s="61" t="str">
        <f>IFERROR(__xludf.DUMMYFUNCTION("""COMPUTED_VALUE"""),"C5610917")</f>
        <v>C5610917</v>
      </c>
      <c r="O91" s="61" t="str">
        <f>IFERROR(__xludf.DUMMYFUNCTION("""COMPUTED_VALUE"""),"9430060177")</f>
        <v>9430060177</v>
      </c>
      <c r="P91" s="67" t="str">
        <f>IFERROR(__xludf.DUMMYFUNCTION("""COMPUTED_VALUE"""),"https://www.linkedin.com/in/diksha-ranjan-%EB%94%95%EC%83%A4-769335129?utm_source=share_via&amp;utm_content=profile&amp;utm_medium=member_ios")</f>
        <v>https://www.linkedin.com/in/diksha-ranjan-%EB%94%95%EC%83%A4-769335129?utm_source=share_via&amp;utm_content=profile&amp;utm_medium=member_ios</v>
      </c>
      <c r="Q91" s="61" t="str">
        <f>IFERROR(__xludf.DUMMYFUNCTION("""COMPUTED_VALUE"""),"Solo_Escapist")</f>
        <v>Solo_Escapist</v>
      </c>
      <c r="R91" s="61" t="str">
        <f>IFERROR(__xludf.DUMMYFUNCTION("""COMPUTED_VALUE"""),"Diksha Ranjan")</f>
        <v>Diksha Ranjan</v>
      </c>
      <c r="S91" s="61" t="str">
        <f>IFERROR(__xludf.DUMMYFUNCTION("""COMPUTED_VALUE"""),"Diksha’s Passport .pdf")</f>
        <v>Diksha’s Passport .pdf</v>
      </c>
      <c r="T91" s="61" t="str">
        <f>IFERROR(__xludf.DUMMYFUNCTION("""COMPUTED_VALUE"""),"Passport size photo .PNG")</f>
        <v>Passport size photo .PNG</v>
      </c>
      <c r="U91" s="61" t="str">
        <f>IFERROR(__xludf.DUMMYFUNCTION("""COMPUTED_VALUE"""),"Diploma and Bachelors")</f>
        <v>Diploma and Bachelors</v>
      </c>
      <c r="V91" s="61" t="str">
        <f>IFERROR(__xludf.DUMMYFUNCTION("""COMPUTED_VALUE"""),"English Literature")</f>
        <v>English Literature</v>
      </c>
      <c r="W91" s="61" t="str">
        <f>IFERROR(__xludf.DUMMYFUNCTION("""COMPUTED_VALUE"""),"Marketing, Branding, social media, Writing, Speaking.")</f>
        <v>Marketing, Branding, social media, Writing, Speaking.</v>
      </c>
      <c r="X91" s="61" t="str">
        <f>IFERROR(__xludf.DUMMYFUNCTION("""COMPUTED_VALUE"""),"University of Delhi")</f>
        <v>University of Delhi</v>
      </c>
      <c r="Y91" s="61" t="str">
        <f>IFERROR(__xludf.DUMMYFUNCTION("""COMPUTED_VALUE"""),"Yes")</f>
        <v>Yes</v>
      </c>
      <c r="Z91" s="61" t="str">
        <f>IFERROR(__xludf.DUMMYFUNCTION("""COMPUTED_VALUE"""),"India")</f>
        <v>India</v>
      </c>
      <c r="AA91" s="61" t="str">
        <f>IFERROR(__xludf.DUMMYFUNCTION("""COMPUTED_VALUE"""),"No")</f>
        <v>No</v>
      </c>
      <c r="AB91" s="61"/>
      <c r="AC91" s="61" t="str">
        <f>IFERROR(__xludf.DUMMYFUNCTION("""COMPUTED_VALUE"""),"Soon, opting Post graduate in diplomacy for research.")</f>
        <v>Soon, opting Post graduate in diplomacy for research.</v>
      </c>
      <c r="AD91" s="61" t="str">
        <f>IFERROR(__xludf.DUMMYFUNCTION("""COMPUTED_VALUE"""),"Yes. Teach for India, WORK organization and Peace initiatives.")</f>
        <v>Yes. Teach for India, WORK organization and Peace initiatives.</v>
      </c>
      <c r="AE91" s="65" t="str">
        <f>IFERROR(__xludf.DUMMYFUNCTION("""COMPUTED_VALUE"""),"https://www.teachforindia.org/")</f>
        <v>https://www.teachforindia.org/</v>
      </c>
      <c r="AF91" s="61" t="str">
        <f>IFERROR(__xludf.DUMMYFUNCTION("""COMPUTED_VALUE"""),"Volunteer")</f>
        <v>Volunteer</v>
      </c>
      <c r="AG91" s="61" t="str">
        <f>IFERROR(__xludf.DUMMYFUNCTION("""COMPUTED_VALUE"""),"2+")</f>
        <v>2+</v>
      </c>
      <c r="AH91" s="61" t="str">
        <f>IFERROR(__xludf.DUMMYFUNCTION("""COMPUTED_VALUE"""),"Yes")</f>
        <v>Yes</v>
      </c>
      <c r="AI91" s="61" t="str">
        <f>IFERROR(__xludf.DUMMYFUNCTION("""COMPUTED_VALUE"""),"Full time Employed in Grow Billion Trees NGO, as Brand Communications Manager.")</f>
        <v>Full time Employed in Grow Billion Trees NGO, as Brand Communications Manager.</v>
      </c>
      <c r="AJ91" s="61" t="str">
        <f>IFERROR(__xludf.DUMMYFUNCTION("""COMPUTED_VALUE"""),"No")</f>
        <v>No</v>
      </c>
      <c r="AK91" s="61" t="str">
        <f>IFERROR(__xludf.DUMMYFUNCTION("""COMPUTED_VALUE"""),"N/A")</f>
        <v>N/A</v>
      </c>
      <c r="AL91" s="61" t="str">
        <f>IFERROR(__xludf.DUMMYFUNCTION("""COMPUTED_VALUE"""),"Branding, Marketing, Social media, Writing, Team Building, Moderator and Speaker")</f>
        <v>Branding, Marketing, Social media, Writing, Team Building, Moderator and Speaker</v>
      </c>
      <c r="AM91" s="61" t="str">
        <f>IFERROR(__xludf.DUMMYFUNCTION("""COMPUTED_VALUE"""),"diksharanjan.CV.pdf")</f>
        <v>diksharanjan.CV.pdf</v>
      </c>
      <c r="AN91" s="61" t="str">
        <f>IFERROR(__xludf.DUMMYFUNCTION("""COMPUTED_VALUE"""),"Yes, I believe meaningful change begins with individuals who choose dialogue over division. I have worked with religious leaders, youth, educators, and civil society to promote peace through interfaith dialogue and mutual understanding. Beyond organizing "&amp;"conferences, I actively build relationships across diverse communities, encourage volunteerism, and use digital storytelling to inspire positive social action. Every conversation, campaign, and collaboration is an opportunity to reduce prejudice and stren"&amp;"gthen trust.")</f>
        <v>Yes, I believe meaningful change begins with individuals who choose dialogue over division. I have worked with religious leaders, youth, educators, and civil society to promote peace through interfaith dialogue and mutual understanding. Beyond organizing conferences, I actively build relationships across diverse communities, encourage volunteerism, and use digital storytelling to inspire positive social action. Every conversation, campaign, and collaboration is an opportunity to reduce prejudice and strengthen trust.</v>
      </c>
      <c r="AO91" s="61" t="str">
        <f>IFERROR(__xludf.DUMMYFUNCTION("""COMPUTED_VALUE"""),"I believe no single country solely defines global diplomacy today. However, India holds a unique diplomatic position because of its democratic values, cultural diversity, strategic partnerships, and growing influence in global affairs. As the world’s larg"&amp;"est democracy, India has consistently promoted dialogue, peaceful coexistence, and multilateral cooperation. Its philosophy of “Vasudhaiva Kutumbakam”. India, is one the the emerging super powers. India’s leadership in forums such as the G20 demonstrates "&amp;"its ability to bridge developed and developing nations while encouraging collaborative solutions to shared global challenges including climate change, sustainable development, and Peace Building .")</f>
        <v>I believe no single country solely defines global diplomacy today. However, India holds a unique diplomatic position because of its democratic values, cultural diversity, strategic partnerships, and growing influence in global affairs. As the world’s largest democracy, India has consistently promoted dialogue, peaceful coexistence, and multilateral cooperation. Its philosophy of “Vasudhaiva Kutumbakam”. India, is one the the emerging super powers. India’s leadership in forums such as the G20 demonstrates its ability to bridge developed and developing nations while encouraging collaborative solutions to shared global challenges including climate change, sustainable development, and Peace Building .</v>
      </c>
      <c r="AP91" s="61" t="str">
        <f>IFERROR(__xludf.DUMMYFUNCTION("""COMPUTED_VALUE"""),"As a youth myself and My journey reflects this belief that Youths are the backbone of the nation, true future of diplomacy. In today’s interconnected world, young people influence international perceptions through innovation, social media, entrepreneurshi"&amp;"p, volunteerism, and cross-cultural collaboration. Their openness to learning, adaptability, and willingness to challenge stereotypes make them powerful agents of peace and international cooperation. India, I engage with religious leaders, youth organizat"&amp;"ions, educational institutions, and civil society to encourage dialogue across cultural and religious differences. I have coordinated peace education initiatives, interfaith discussions, and international collaborations that emphasize understanding over c"&amp;"onflict. These experiences have shown me that diplomacy extends far beyond government institutions, it is more about understanding and relationships. My background in strategic communication and digital media has enabled me to create campaigns that promot"&amp;"e social awareness, peacebuilding, and community engagement. I believe authentic storytelling has the power to connect people across borders and challenge misconceptions. At the Young Public Diplomacy Summit, I hope to exchange ideas with global changemak"&amp;"ers, strengthen my understanding of international diplomacy, and contribute practical perspectives from grassroots Peace building initiatives in India.")</f>
        <v>As a youth myself and My journey reflects this belief that Youths are the backbone of the nation, true future of diplomacy. In today’s interconnected world, young people influence international perceptions through innovation, social media, entrepreneurship, volunteerism, and cross-cultural collaboration. Their openness to learning, adaptability, and willingness to challenge stereotypes make them powerful agents of peace and international cooperation. India, I engage with religious leaders, youth organizations, educational institutions, and civil society to encourage dialogue across cultural and religious differences. I have coordinated peace education initiatives, interfaith discussions, and international collaborations that emphasize understanding over conflict. These experiences have shown me that diplomacy extends far beyond government institutions, it is more about understanding and relationships. My background in strategic communication and digital media has enabled me to create campaigns that promote social awareness, peacebuilding, and community engagement. I believe authentic storytelling has the power to connect people across borders and challenge misconceptions. At the Young Public Diplomacy Summit, I hope to exchange ideas with global changemakers, strengthen my understanding of international diplomacy, and contribute practical perspectives from grassroots Peace building initiatives in India.</v>
      </c>
      <c r="AQ91" s="61" t="str">
        <f>IFERROR(__xludf.DUMMYFUNCTION("""COMPUTED_VALUE"""),"My passion is deeply rooted in my Faith. 
Faith has helped me understand my purpose, and has shaped my true identity to become a peace advocate. It has taught me patience and resilience (in-fact, I am still learning). My passion lies in building peaceful "&amp;"communities through dialogue, education, and meaningful human connections. Whether coordinating interfaith initiatives, leading volunteer teams, or creating communication strategies for social impact, I find purpose in bringing diverse people together aro"&amp;"und shared values. Organizing international collaborations and community projects often involves uncertainty, but it has strengthened my ability to adapt, lead with empathy, and remain focused on meaningful outcomes. Rather than pursuing success alone, I "&amp;"strive to create opportunities where others can also contribute and grow.")</f>
        <v>My passion is deeply rooted in my Faith. 
Faith has helped me understand my purpose, and has shaped my true identity to become a peace advocate. It has taught me patience and resilience (in-fact, I am still learning). My passion lies in building peaceful communities through dialogue, education, and meaningful human connections. Whether coordinating interfaith initiatives, leading volunteer teams, or creating communication strategies for social impact, I find purpose in bringing diverse people together around shared values. Organizing international collaborations and community projects often involves uncertainty, but it has strengthened my ability to adapt, lead with empathy, and remain focused on meaningful outcomes. Rather than pursuing success alone, I strive to create opportunities where others can also contribute and grow.</v>
      </c>
      <c r="AR91" s="61" t="str">
        <f>IFERROR(__xludf.DUMMYFUNCTION("""COMPUTED_VALUE"""),"Yes, i personally think creative mind is one of my strongest pursuit. Creativity is flexible and it enables me to transform complex ideas into meaningful experiences that people can relate to. My background in social media strategy, branding, content deve"&amp;"lopment, and community engagement has taught me that creativity is not about design. Rather for Me, it is about communicating with empathy, authenticity, and purpose. I have used storytelling, digital campaigns, educational content, and collaborative even"&amp;"ts to promote peace, encourage civic participation, and strengthen intercultural understanding. By presenting real stories of cooperation and shared humanity, I have seen how communication can inspire dialogue. I truly believe successful diplomacy is buil"&amp;"t on human connections. Creativity allows those connections to become memorable, accessible, and inclusive. Through innovative communication, we can transform diplomacy from formal negotiations into everyday interactions that build trust, mutual respect, "&amp;"and lasting international friendships.")</f>
        <v>Yes, i personally think creative mind is one of my strongest pursuit. Creativity is flexible and it enables me to transform complex ideas into meaningful experiences that people can relate to. My background in social media strategy, branding, content development, and community engagement has taught me that creativity is not about design. Rather for Me, it is about communicating with empathy, authenticity, and purpose. I have used storytelling, digital campaigns, educational content, and collaborative events to promote peace, encourage civic participation, and strengthen intercultural understanding. By presenting real stories of cooperation and shared humanity, I have seen how communication can inspire dialogue. I truly believe successful diplomacy is built on human connections. Creativity allows those connections to become memorable, accessible, and inclusive. Through innovative communication, we can transform diplomacy from formal negotiations into everyday interactions that build trust, mutual respect, and lasting international friendships.</v>
      </c>
      <c r="AS91" s="61" t="str">
        <f>IFERROR(__xludf.DUMMYFUNCTION("""COMPUTED_VALUE"""),"Yes")</f>
        <v>Yes</v>
      </c>
      <c r="AT91" s="61" t="str">
        <f>IFERROR(__xludf.DUMMYFUNCTION("""COMPUTED_VALUE"""),"Yes")</f>
        <v>Yes</v>
      </c>
      <c r="AU91" s="61" t="str">
        <f>IFERROR(__xludf.DUMMYFUNCTION("""COMPUTED_VALUE"""),"Global Politics, Diplomacy &amp; Identities")</f>
        <v>Global Politics, Diplomacy &amp; Identities</v>
      </c>
      <c r="AV91" s="61" t="str">
        <f>IFERROR(__xludf.DUMMYFUNCTION("""COMPUTED_VALUE"""),"Social Media")</f>
        <v>Social Media</v>
      </c>
      <c r="AW91" s="61" t="str">
        <f>IFERROR(__xludf.DUMMYFUNCTION("""COMPUTED_VALUE"""),"Global Politics and Diplomacy")</f>
        <v>Global Politics and Diplomacy</v>
      </c>
      <c r="AX91" s="66" t="str">
        <f>IFERROR(__xludf.DUMMYFUNCTION("""COMPUTED_VALUE"""),"Yes")</f>
        <v>Yes</v>
      </c>
      <c r="AY91" s="66">
        <f>IFERROR(__xludf.DUMMYFUNCTION("""COMPUTED_VALUE"""),15.99)</f>
        <v>15.99</v>
      </c>
      <c r="AZ91" s="61"/>
      <c r="BA91" s="61"/>
      <c r="BB91" s="61"/>
      <c r="BC91" s="61"/>
      <c r="BD91" s="61"/>
      <c r="BE91" s="61"/>
      <c r="BF91" s="61"/>
      <c r="BG91" s="61"/>
      <c r="BH91" s="61"/>
      <c r="BI91" s="61"/>
      <c r="BJ91" s="61"/>
      <c r="BK91" s="61"/>
      <c r="BL91" s="61"/>
      <c r="BM91" s="61"/>
      <c r="BN91" s="61"/>
      <c r="BO91" s="61"/>
      <c r="BP91" s="61"/>
      <c r="BQ91" s="61"/>
      <c r="BR91" s="61"/>
    </row>
    <row r="92" ht="15.75" customHeight="1">
      <c r="A92" s="61" t="str">
        <f>IFERROR(__xludf.DUMMYFUNCTION("""COMPUTED_VALUE"""),"Partial")</f>
        <v>Partial</v>
      </c>
      <c r="B92" s="62">
        <f>IFERROR(__xludf.DUMMYFUNCTION("""COMPUTED_VALUE"""),112.0)</f>
        <v>112</v>
      </c>
      <c r="C92" s="61" t="str">
        <f>IFERROR(__xludf.DUMMYFUNCTION("""COMPUTED_VALUE"""),"Partial")</f>
        <v>Partial</v>
      </c>
      <c r="D92" s="63" t="str">
        <f>IFERROR(__xludf.DUMMYFUNCTION("""COMPUTED_VALUE"""),"Submitted")</f>
        <v>Submitted</v>
      </c>
      <c r="E92" s="63">
        <f>IFERROR(__xludf.DUMMYFUNCTION("""COMPUTED_VALUE"""),46207.79375)</f>
        <v>46207.79375</v>
      </c>
      <c r="F92" s="61" t="str">
        <f>IFERROR(__xludf.DUMMYFUNCTION("""COMPUTED_VALUE"""),"Muhammad Saleh")</f>
        <v>Muhammad Saleh</v>
      </c>
      <c r="G92" s="61" t="str">
        <f>IFERROR(__xludf.DUMMYFUNCTION("""COMPUTED_VALUE"""),"Muhammad Saleh")</f>
        <v>Muhammad Saleh</v>
      </c>
      <c r="H92" s="61" t="str">
        <f>IFERROR(__xludf.DUMMYFUNCTION("""COMPUTED_VALUE"""),"muhammad.saleh2207@gmail.com")</f>
        <v>muhammad.saleh2207@gmail.com</v>
      </c>
      <c r="I92" s="61" t="str">
        <f>IFERROR(__xludf.DUMMYFUNCTION("""COMPUTED_VALUE"""),"muhammadsaleh69714@gmail.com")</f>
        <v>muhammadsaleh69714@gmail.com</v>
      </c>
      <c r="J92" s="61" t="str">
        <f>IFERROR(__xludf.DUMMYFUNCTION("""COMPUTED_VALUE"""),"Ahmed Abdullah st ,Khokrapar#2 house no# FN54/7 ,Malir ,Karachi, pakistan, Karachi, Pakistan")</f>
        <v>Ahmed Abdullah st ,Khokrapar#2 house no# FN54/7 ,Malir ,Karachi, pakistan, Karachi, Pakistan</v>
      </c>
      <c r="K92" s="61" t="str">
        <f>IFERROR(__xludf.DUMMYFUNCTION("""COMPUTED_VALUE"""),"Pakistani")</f>
        <v>Pakistani</v>
      </c>
      <c r="L92" s="64" t="str">
        <f>IFERROR(__xludf.DUMMYFUNCTION("""COMPUTED_VALUE"""),"+923062275999")</f>
        <v>+923062275999</v>
      </c>
      <c r="M92" s="64">
        <f>IFERROR(__xludf.DUMMYFUNCTION("""COMPUTED_VALUE"""),39285.0)</f>
        <v>39285</v>
      </c>
      <c r="N92" s="61" t="str">
        <f>IFERROR(__xludf.DUMMYFUNCTION("""COMPUTED_VALUE"""),"AL5748892")</f>
        <v>AL5748892</v>
      </c>
      <c r="O92" s="61" t="str">
        <f>IFERROR(__xludf.DUMMYFUNCTION("""COMPUTED_VALUE"""),"+923062275999")</f>
        <v>+923062275999</v>
      </c>
      <c r="P92" s="61"/>
      <c r="Q92" s="61"/>
      <c r="R92" s="61"/>
      <c r="S92" s="61" t="str">
        <f>IFERROR(__xludf.DUMMYFUNCTION("""COMPUTED_VALUE"""),"passport saleh.jpeg")</f>
        <v>passport saleh.jpeg</v>
      </c>
      <c r="T92" s="61" t="str">
        <f>IFERROR(__xludf.DUMMYFUNCTION("""COMPUTED_VALUE"""),"white bg.PDF")</f>
        <v>white bg.PDF</v>
      </c>
      <c r="U92" s="61" t="str">
        <f>IFERROR(__xludf.DUMMYFUNCTION("""COMPUTED_VALUE"""),"High School")</f>
        <v>High School</v>
      </c>
      <c r="V92" s="61" t="str">
        <f>IFERROR(__xludf.DUMMYFUNCTION("""COMPUTED_VALUE"""),"N/A")</f>
        <v>N/A</v>
      </c>
      <c r="W92" s="61"/>
      <c r="X92" s="61" t="str">
        <f>IFERROR(__xludf.DUMMYFUNCTION("""COMPUTED_VALUE"""),"N/A")</f>
        <v>N/A</v>
      </c>
      <c r="Y92" s="61" t="str">
        <f>IFERROR(__xludf.DUMMYFUNCTION("""COMPUTED_VALUE"""),"No")</f>
        <v>No</v>
      </c>
      <c r="Z92" s="61" t="str">
        <f>IFERROR(__xludf.DUMMYFUNCTION("""COMPUTED_VALUE"""),"Pakistan")</f>
        <v>Pakistan</v>
      </c>
      <c r="AA92" s="61" t="str">
        <f>IFERROR(__xludf.DUMMYFUNCTION("""COMPUTED_VALUE"""),"No")</f>
        <v>No</v>
      </c>
      <c r="AB92" s="61"/>
      <c r="AC92" s="61" t="str">
        <f>IFERROR(__xludf.DUMMYFUNCTION("""COMPUTED_VALUE"""),"Yes i am familiar with academic research a little bit.")</f>
        <v>Yes i am familiar with academic research a little bit.</v>
      </c>
      <c r="AD92" s="61" t="str">
        <f>IFERROR(__xludf.DUMMYFUNCTION("""COMPUTED_VALUE"""),"no")</f>
        <v>no</v>
      </c>
      <c r="AE92" s="61"/>
      <c r="AF92" s="61"/>
      <c r="AG92" s="61"/>
      <c r="AH92" s="61" t="str">
        <f>IFERROR(__xludf.DUMMYFUNCTION("""COMPUTED_VALUE"""),"No")</f>
        <v>No</v>
      </c>
      <c r="AI92" s="61"/>
      <c r="AJ92" s="61"/>
      <c r="AK92" s="61"/>
      <c r="AL92" s="61" t="str">
        <f>IFERROR(__xludf.DUMMYFUNCTION("""COMPUTED_VALUE"""),"customer service, communication, management")</f>
        <v>customer service, communication, management</v>
      </c>
      <c r="AM92" s="61" t="str">
        <f>IFERROR(__xludf.DUMMYFUNCTION("""COMPUTED_VALUE"""),"Resumefly.png")</f>
        <v>Resumefly.png</v>
      </c>
      <c r="AN92" s="61" t="str">
        <f>IFERROR(__xludf.DUMMYFUNCTION("""COMPUTED_VALUE"""),"I have always believed that meaningful change begins with small actions. In my personal capacity, I have volunteered in community charity drives focused on helping families in need. In 2024, I participated in a clothing donation campaign, and in 2025, I h"&amp;"elped organize and distribute food packages to underprivileged households. These experiences taught me the value of compassion, teamwork, and service. I also strive to make a positive impact by treating others with kindness, supporting my peers, and encou"&amp;"raging community involvement. While my contributions may seem modest, I believe consistent acts of service can inspire lasting change and create stronger, more caring communities.")</f>
        <v>I have always believed that meaningful change begins with small actions. In my personal capacity, I have volunteered in community charity drives focused on helping families in need. In 2024, I participated in a clothing donation campaign, and in 2025, I helped organize and distribute food packages to underprivileged households. These experiences taught me the value of compassion, teamwork, and service. I also strive to make a positive impact by treating others with kindness, supporting my peers, and encouraging community involvement. While my contributions may seem modest, I believe consistent acts of service can inspire lasting change and create stronger, more caring communities.</v>
      </c>
      <c r="AO92" s="61" t="str">
        <f>IFERROR(__xludf.DUMMYFUNCTION("""COMPUTED_VALUE"""),"In my opinion, the Kingdom of Saudi Arabia is one of the most diplomatically significant countries in the world. It plays a vital role in promoting peace, regional stability, and international cooperation. As the birthplace of Islam and home to the Two Ho"&amp;"ly Mosques, Saudi Arabia holds great religious and cultural importance for Muslims worldwide. It also contributes significantly to global economic development through its energy resources and expanding international partnerships. Through initiatives such "&amp;"as Vision 2030, the Kingdom continues to strengthen diplomatic relations, encourage innovation, and promote sustainable development, making it an influential and respected nation on the global stage.")</f>
        <v>In my opinion, the Kingdom of Saudi Arabia is one of the most diplomatically significant countries in the world. It plays a vital role in promoting peace, regional stability, and international cooperation. As the birthplace of Islam and home to the Two Holy Mosques, Saudi Arabia holds great religious and cultural importance for Muslims worldwide. It also contributes significantly to global economic development through its energy resources and expanding international partnerships. Through initiatives such as Vision 2030, the Kingdom continues to strengthen diplomatic relations, encourage innovation, and promote sustainable development, making it an influential and respected nation on the global stage.</v>
      </c>
      <c r="AP92" s="61" t="str">
        <f>IFERROR(__xludf.DUMMYFUNCTION("""COMPUTED_VALUE"""),"Young people play a vital role in diplomacy because they bring fresh ideas, energy, and a willingness to embrace diversity. In today's interconnected world, diplomacy extends beyond governments and ambassadors. Through education, cultural exchange, volunt"&amp;"eer work, and responsible use of social media, young people can build mutual understanding and strengthen relationships between communities and nations. By promoting respect, dialogue, and cooperation, youth contribute to creating a more peaceful and incl"&amp;"usive world.
I relate strongly to the idea of public diplomacy because I believe that every individual has the ability to represent their country and values through their actions. Positive interactions, respect for different cultures, and meaningful comm"&amp;"unication help build trust across borders. As someone who has participated in community service and values helping others, I have learned that small acts of kindness and cooperation can leave a lasting impression. I hope to continue developing my knowledg"&amp;"e and communication skills through higher education, allowing me to become a responsible global citizen. By engaging with people from different backgrounds, sharing ideas, and promoting understanding, I aim to contribute to stronger international friendsh"&amp;"ips and demonstrate that diplomacy begins with everyday actions rooted in respect, integrity, and compassion.")</f>
        <v>Young people play a vital role in diplomacy because they bring fresh ideas, energy, and a willingness to embrace diversity. In today's interconnected world, diplomacy extends beyond governments and ambassadors. Through education, cultural exchange, volunteer work, and responsible use of social media, young people can build mutual understanding and strengthen relationships between communities and nations. By promoting respect, dialogue, and cooperation, youth contribute to creating a more peaceful and inclusive world.
I relate strongly to the idea of public diplomacy because I believe that every individual has the ability to represent their country and values through their actions. Positive interactions, respect for different cultures, and meaningful communication help build trust across borders. As someone who has participated in community service and values helping others, I have learned that small acts of kindness and cooperation can leave a lasting impression. I hope to continue developing my knowledge and communication skills through higher education, allowing me to become a responsible global citizen. By engaging with people from different backgrounds, sharing ideas, and promoting understanding, I aim to contribute to stronger international friendships and demonstrate that diplomacy begins with everyday actions rooted in respect, integrity, and compassion.</v>
      </c>
      <c r="AQ92" s="61" t="str">
        <f>IFERROR(__xludf.DUMMYFUNCTION("""COMPUTED_VALUE"""),"Passion is the inner drive that inspires a person to pursue meaningful goals with dedication and perseverance. It provides motivation to keep learning, improving, and overcoming challenges, even when success is not immediate. Passion transforms obstacles "&amp;"into opportunities for growth and encourages individuals to remain focused on their ambitions.
For me, passion is the desire to continuously develop myself through education, service, and personal growth. It motivates me to work hard, manage my time effe"&amp;"ctively, and remain committed to achieving my academic and career goals. My passion for learning and helping others has inspired me to participate in community charity initiatives and seek opportunities that allow me to make a positive impact. I believe t"&amp;"hat when passion is combined with discipline, patience, and faith, it becomes a powerful force for success. It not only helps achieve personal goals but also enables individuals to contribute positively to their families, communities, and society as a who"&amp;"le.")</f>
        <v>Passion is the inner drive that inspires a person to pursue meaningful goals with dedication and perseverance. It provides motivation to keep learning, improving, and overcoming challenges, even when success is not immediate. Passion transforms obstacles into opportunities for growth and encourages individuals to remain focused on their ambitions.
For me, passion is the desire to continuously develop myself through education, service, and personal growth. It motivates me to work hard, manage my time effectively, and remain committed to achieving my academic and career goals. My passion for learning and helping others has inspired me to participate in community charity initiatives and seek opportunities that allow me to make a positive impact. I believe that when passion is combined with discipline, patience, and faith, it becomes a powerful force for success. It not only helps achieve personal goals but also enables individuals to contribute positively to their families, communities, and society as a whole.</v>
      </c>
      <c r="AR92" s="61" t="str">
        <f>IFERROR(__xludf.DUMMYFUNCTION("""COMPUTED_VALUE"""),"Yes, I consider myself a creative person because I enjoy finding meaningful and practical ways to solve problems, connect with people, and share ideas. Creativity is not only about art or design; it is also about thinking differently, communicating effect"&amp;"ively, and adapting to new situations. I believe these qualities are essential in today's interconnected world.
Creativity can become an effective public diplomacy strategy by helping people communicate across cultural and linguistic differences in ways "&amp;"that are engaging and respectful. Through storytelling, educational initiatives, community service, social media, and cultural exchange programs, creative ideas can foster mutual understanding and build trust between people from different backgrounds. Rat"&amp;"her than focusing only on political discussions, public diplomacy can highlight shared values, traditions, and aspirations that unite communities.
I hope to use my creativity by promoting positive dialogue, participating in volunteer activities, and repr"&amp;"esenting my country with respect and integrity. By listening to others, appreciating diverse perspectives, and encouraging collaboration, I can contribute to stronger international relationships. I believe that creative communication has the power to brea"&amp;"k down stereotypes, inspire cooperation, and create lasting friendships. In this way, creativity becomes a valuable tool for promoting peace, understanding, and meaningful global connections.")</f>
        <v>Yes, I consider myself a creative person because I enjoy finding meaningful and practical ways to solve problems, connect with people, and share ideas. Creativity is not only about art or design; it is also about thinking differently, communicating effectively, and adapting to new situations. I believe these qualities are essential in today's interconnected world.
Creativity can become an effective public diplomacy strategy by helping people communicate across cultural and linguistic differences in ways that are engaging and respectful. Through storytelling, educational initiatives, community service, social media, and cultural exchange programs, creative ideas can foster mutual understanding and build trust between people from different backgrounds. Rather than focusing only on political discussions, public diplomacy can highlight shared values, traditions, and aspirations that unite communities.
I hope to use my creativity by promoting positive dialogue, participating in volunteer activities, and representing my country with respect and integrity. By listening to others, appreciating diverse perspectives, and encouraging collaboration, I can contribute to stronger international relationships. I believe that creative communication has the power to break down stereotypes, inspire cooperation, and create lasting friendships. In this way, creativity becomes a valuable tool for promoting peace, understanding, and meaningful global connections.</v>
      </c>
      <c r="AS92" s="61" t="str">
        <f>IFERROR(__xludf.DUMMYFUNCTION("""COMPUTED_VALUE"""),"Yes")</f>
        <v>Yes</v>
      </c>
      <c r="AT92" s="61" t="str">
        <f>IFERROR(__xludf.DUMMYFUNCTION("""COMPUTED_VALUE"""),"Yes")</f>
        <v>Yes</v>
      </c>
      <c r="AU92" s="61" t="str">
        <f>IFERROR(__xludf.DUMMYFUNCTION("""COMPUTED_VALUE"""),"Global Politics, Diplomacy &amp; Identities")</f>
        <v>Global Politics, Diplomacy &amp; Identities</v>
      </c>
      <c r="AV92" s="61" t="str">
        <f>IFERROR(__xludf.DUMMYFUNCTION("""COMPUTED_VALUE"""),"Google search")</f>
        <v>Google search</v>
      </c>
      <c r="AW92" s="61" t="str">
        <f>IFERROR(__xludf.DUMMYFUNCTION("""COMPUTED_VALUE"""),"Public diplomacy and Global Politics")</f>
        <v>Public diplomacy and Global Politics</v>
      </c>
      <c r="AX92" s="66" t="str">
        <f>IFERROR(__xludf.DUMMYFUNCTION("""COMPUTED_VALUE"""),"Yes")</f>
        <v>Yes</v>
      </c>
      <c r="AY92" s="66">
        <f>IFERROR(__xludf.DUMMYFUNCTION("""COMPUTED_VALUE"""),15.99)</f>
        <v>15.99</v>
      </c>
      <c r="AZ92" s="61"/>
      <c r="BA92" s="61"/>
      <c r="BB92" s="61"/>
      <c r="BC92" s="61"/>
      <c r="BD92" s="61"/>
      <c r="BE92" s="61"/>
      <c r="BF92" s="61"/>
      <c r="BG92" s="61"/>
      <c r="BH92" s="61"/>
      <c r="BI92" s="61"/>
      <c r="BJ92" s="61"/>
      <c r="BK92" s="61"/>
      <c r="BL92" s="61"/>
      <c r="BM92" s="61"/>
      <c r="BN92" s="61"/>
      <c r="BO92" s="61"/>
      <c r="BP92" s="61"/>
      <c r="BQ92" s="61"/>
      <c r="BR92" s="61"/>
    </row>
    <row r="93" ht="15.75" customHeight="1">
      <c r="A93" s="61" t="str">
        <f>IFERROR(__xludf.DUMMYFUNCTION("""COMPUTED_VALUE"""),"Partial")</f>
        <v>Partial</v>
      </c>
      <c r="B93" s="62">
        <f>IFERROR(__xludf.DUMMYFUNCTION("""COMPUTED_VALUE"""),114.0)</f>
        <v>114</v>
      </c>
      <c r="C93" s="61" t="str">
        <f>IFERROR(__xludf.DUMMYFUNCTION("""COMPUTED_VALUE"""),"Partial")</f>
        <v>Partial</v>
      </c>
      <c r="D93" s="63" t="str">
        <f>IFERROR(__xludf.DUMMYFUNCTION("""COMPUTED_VALUE"""),"Submitted")</f>
        <v>Submitted</v>
      </c>
      <c r="E93" s="63">
        <f>IFERROR(__xludf.DUMMYFUNCTION("""COMPUTED_VALUE"""),46207.90833333333)</f>
        <v>46207.90833</v>
      </c>
      <c r="F93" s="61" t="str">
        <f>IFERROR(__xludf.DUMMYFUNCTION("""COMPUTED_VALUE"""),"Yasmina Zhumagulova")</f>
        <v>Yasmina Zhumagulova</v>
      </c>
      <c r="G93" s="61" t="str">
        <f>IFERROR(__xludf.DUMMYFUNCTION("""COMPUTED_VALUE"""),"Yasmina Zhumagulova")</f>
        <v>Yasmina Zhumagulova</v>
      </c>
      <c r="H93" s="61" t="str">
        <f>IFERROR(__xludf.DUMMYFUNCTION("""COMPUTED_VALUE"""),"asminazumagulova@gmail.com")</f>
        <v>asminazumagulova@gmail.com</v>
      </c>
      <c r="I93" s="61" t="str">
        <f>IFERROR(__xludf.DUMMYFUNCTION("""COMPUTED_VALUE"""),"roza.kubekova.63@mail.ru")</f>
        <v>roza.kubekova.63@mail.ru</v>
      </c>
      <c r="J93" s="61" t="str">
        <f>IFERROR(__xludf.DUMMYFUNCTION("""COMPUTED_VALUE"""),"Altynsarina 114, Kostanay")</f>
        <v>Altynsarina 114, Kostanay</v>
      </c>
      <c r="K93" s="61" t="str">
        <f>IFERROR(__xludf.DUMMYFUNCTION("""COMPUTED_VALUE"""),"Kazakh")</f>
        <v>Kazakh</v>
      </c>
      <c r="L93" s="64" t="str">
        <f>IFERROR(__xludf.DUMMYFUNCTION("""COMPUTED_VALUE"""),"+77774419477")</f>
        <v>+77774419477</v>
      </c>
      <c r="M93" s="64">
        <f>IFERROR(__xludf.DUMMYFUNCTION("""COMPUTED_VALUE"""),40352.0)</f>
        <v>40352</v>
      </c>
      <c r="N93" s="61" t="str">
        <f>IFERROR(__xludf.DUMMYFUNCTION("""COMPUTED_VALUE"""),"12311683")</f>
        <v>12311683</v>
      </c>
      <c r="O93" s="61" t="str">
        <f>IFERROR(__xludf.DUMMYFUNCTION("""COMPUTED_VALUE"""),"+77774419477")</f>
        <v>+77774419477</v>
      </c>
      <c r="P93" s="61"/>
      <c r="Q93" s="61" t="str">
        <f>IFERROR(__xludf.DUMMYFUNCTION("""COMPUTED_VALUE"""),"esmi_ful")</f>
        <v>esmi_ful</v>
      </c>
      <c r="R93" s="61"/>
      <c r="S93" s="61" t="str">
        <f>IFERROR(__xludf.DUMMYFUNCTION("""COMPUTED_VALUE"""),"photo_5334721807296174891_y.jpg")</f>
        <v>photo_5334721807296174891_y.jpg</v>
      </c>
      <c r="T93" s="61" t="str">
        <f>IFERROR(__xludf.DUMMYFUNCTION("""COMPUTED_VALUE"""),"photo_5334721807296174910_y.jpg")</f>
        <v>photo_5334721807296174910_y.jpg</v>
      </c>
      <c r="U93" s="61" t="str">
        <f>IFERROR(__xludf.DUMMYFUNCTION("""COMPUTED_VALUE"""),"student of the school-lyceum1")</f>
        <v>student of the school-lyceum1</v>
      </c>
      <c r="V93" s="61" t="str">
        <f>IFERROR(__xludf.DUMMYFUNCTION("""COMPUTED_VALUE"""),"high school")</f>
        <v>high school</v>
      </c>
      <c r="W93" s="61"/>
      <c r="X93" s="61" t="str">
        <f>IFERROR(__xludf.DUMMYFUNCTION("""COMPUTED_VALUE"""),"School-lyceum1")</f>
        <v>School-lyceum1</v>
      </c>
      <c r="Y93" s="61" t="str">
        <f>IFERROR(__xludf.DUMMYFUNCTION("""COMPUTED_VALUE"""),"Yes")</f>
        <v>Yes</v>
      </c>
      <c r="Z93" s="61" t="str">
        <f>IFERROR(__xludf.DUMMYFUNCTION("""COMPUTED_VALUE"""),"Kazakhstan")</f>
        <v>Kazakhstan</v>
      </c>
      <c r="AA93" s="61" t="str">
        <f>IFERROR(__xludf.DUMMYFUNCTION("""COMPUTED_VALUE"""),"No")</f>
        <v>No</v>
      </c>
      <c r="AB93" s="61"/>
      <c r="AC93" s="61"/>
      <c r="AD93" s="61" t="str">
        <f>IFERROR(__xludf.DUMMYFUNCTION("""COMPUTED_VALUE"""),"Yes,Assambleya Zhastary")</f>
        <v>Yes,Assambleya Zhastary</v>
      </c>
      <c r="AE93" s="65" t="str">
        <f>IFERROR(__xludf.DUMMYFUNCTION("""COMPUTED_VALUE"""),"https://assembly.kz/ru/")</f>
        <v>https://assembly.kz/ru/</v>
      </c>
      <c r="AF93" s="61" t="str">
        <f>IFERROR(__xludf.DUMMYFUNCTION("""COMPUTED_VALUE"""),"I work as a volunteer and content creator. My main responsibility is to produce and share content that promotes the culture, traditions, and historical heritage of Kazakhstan. I also travel to different cities within the country to document cultural sites"&amp;" and local initiatives, helping to make national heritage more visible and engaging for young people through digital media.")</f>
        <v>I work as a volunteer and content creator. My main responsibility is to produce and share content that promotes the culture, traditions, and historical heritage of Kazakhstan. I also travel to different cities within the country to document cultural sites and local initiatives, helping to make national heritage more visible and engaging for young people through digital media.</v>
      </c>
      <c r="AG93" s="61" t="str">
        <f>IFERROR(__xludf.DUMMYFUNCTION("""COMPUTED_VALUE"""),"1,5")</f>
        <v>1,5</v>
      </c>
      <c r="AH93" s="61" t="str">
        <f>IFERROR(__xludf.DUMMYFUNCTION("""COMPUTED_VALUE"""),"No")</f>
        <v>No</v>
      </c>
      <c r="AI93" s="61"/>
      <c r="AJ93" s="61" t="str">
        <f>IFERROR(__xludf.DUMMYFUNCTION("""COMPUTED_VALUE"""),"Yes")</f>
        <v>Yes</v>
      </c>
      <c r="AK93" s="61" t="str">
        <f>IFERROR(__xludf.DUMMYFUNCTION("""COMPUTED_VALUE"""),"I founded a student-led educational initiative that helps high school students explore international education opportunities. Through webinars, mentorship, and free educational resources, I guide students through the application process for studying abroa"&amp;"d, including scholarship opportunities, document preparation, and personal development.
The project aims to make access to international education more inclusive by sharing reliable information and encouraging students to pursue global opportunities rega"&amp;"rdless of their background. It also fosters a supportive community where students can learn from one another and build confidence in achieving their academic goals")</f>
        <v>I founded a student-led educational initiative that helps high school students explore international education opportunities. Through webinars, mentorship, and free educational resources, I guide students through the application process for studying abroad, including scholarship opportunities, document preparation, and personal development.
The project aims to make access to international education more inclusive by sharing reliable information and encouraging students to pursue global opportunities regardless of their background. It also fosters a supportive community where students can learn from one another and build confidence in achieving their academic goals</v>
      </c>
      <c r="AL93" s="61" t="str">
        <f>IFERROR(__xludf.DUMMYFUNCTION("""COMPUTED_VALUE"""),"I have experience in content creation, public speaking, and event organization. I promote Kazakh culture through media projects and have strong skills in communication, critical thinking, and teamwork gained through debate and school activities.")</f>
        <v>I have experience in content creation, public speaking, and event organization. I promote Kazakh culture through media projects and have strong skills in communication, critical thinking, and teamwork gained through debate and school activities.</v>
      </c>
      <c r="AM93" s="61" t="str">
        <f>IFERROR(__xludf.DUMMYFUNCTION("""COMPUTED_VALUE"""),"Резюме для конкурса.docx")</f>
        <v>Резюме для конкурса.docx</v>
      </c>
      <c r="AN93" s="61" t="str">
        <f>IFERROR(__xludf.DUMMYFUNCTION("""COMPUTED_VALUE"""),"Have I thought of changing the world? Yes, but not through grand gestures-through quiet, persistent work where it matters most: in the lives of individuals. My journey began with a realization: many talented students in my community never even considered "&amp;"studying abroad because the path seemed impossibly opaque. That’s when I launched my educational initiative-not just to share information, but to build confidence and dismantle the myth that opportunities are only for a chosen few. As a volunteer with Ass"&amp;"embly Zhastary, I channel this same belief into cultural storytelling: by sharing Kazakhstan’s heritage digitally, I aim to foster pride at home and curiosity abroad. Every event I organize at school is a small experiment in unity-proving that diverse voi"&amp;"ces, when brought together, create something stronger than the sum of their parts. I’ve come to see that changing the world isn’t about sweeping revolutions; it’s about lighting one candle at a time and trusting the light to spread.")</f>
        <v>Have I thought of changing the world? Yes, but not through grand gestures-through quiet, persistent work where it matters most: in the lives of individuals. My journey began with a realization: many talented students in my community never even considered studying abroad because the path seemed impossibly opaque. That’s when I launched my educational initiative-not just to share information, but to build confidence and dismantle the myth that opportunities are only for a chosen few. As a volunteer with Assembly Zhastary, I channel this same belief into cultural storytelling: by sharing Kazakhstan’s heritage digitally, I aim to foster pride at home and curiosity abroad. Every event I organize at school is a small experiment in unity-proving that diverse voices, when brought together, create something stronger than the sum of their parts. I’ve come to see that changing the world isn’t about sweeping revolutions; it’s about lighting one candle at a time and trusting the light to spread.</v>
      </c>
      <c r="AO93" s="61" t="str">
        <f>IFERROR(__xludf.DUMMYFUNCTION("""COMPUTED_VALUE"""),"In my opinion, Kazakhstan is one of the most diplomatically significant countries because it serves as a bridge between Europe and Asia. As a multicultural nation with more than 100 ethnic groups, Kazakhstan has built its identity on peaceful coexistence,"&amp;" mutual respect, and dialogue. One of its greatest strengths is its multi-vector foreign policy, which enables Kazakhstan to maintain constructive relations with countries from different regions and political systems. Today, Kazakhstan continues to expand"&amp;" its diplomatic, economic, and cultural partnerships.As a volunteer at Assembly Zhastary, I have seen how cultural understanding strengthens unity within society. I believe the same principle applies internationally: diplomacy is built on trust, respect, "&amp;"and communication.")</f>
        <v>In my opinion, Kazakhstan is one of the most diplomatically significant countries because it serves as a bridge between Europe and Asia. As a multicultural nation with more than 100 ethnic groups, Kazakhstan has built its identity on peaceful coexistence, mutual respect, and dialogue. One of its greatest strengths is its multi-vector foreign policy, which enables Kazakhstan to maintain constructive relations with countries from different regions and political systems. Today, Kazakhstan continues to expand its diplomatic, economic, and cultural partnerships.As a volunteer at Assembly Zhastary, I have seen how cultural understanding strengthens unity within society. I believe the same principle applies internationally: diplomacy is built on trust, respect, and communication.</v>
      </c>
      <c r="AP93" s="61" t="str">
        <f>IFERROR(__xludf.DUMMYFUNCTION("""COMPUTED_VALUE"""),"I believe that young people are now redefining the very essence of diplomacy. In the past, it was often associated with closed‑door negotiations, protocols, and formal attire. Today, diplomacy is increasingly born out of ordinary communication: through co"&amp;"rrespondence with peers from other countries, joint volunteer projects, and short videos that help people better understand foreign cultures.
Young people naturally transcend borders because the world has always been interconnected to them. We grow up ac"&amp;"customed to diverse perspectives, quick adaptability, and the search for common ground. This flexibility becomes a powerful diplomatic resource, helping us not to argue for the sake of it, but to find where our interests and values intersect. Moreover, ou"&amp;"r fluency in digital spaces allows us to amplify these efforts: a single post or a brief online discussion can spark meaningful exchanges across continents.
Public diplomacy resonates with me because it makes international dialogue more human and relatab"&amp;"le. It’s not about official statements but about stories, emotions, and personal experiences-things that stick in memory and touch the heart. Students, volunteers, young artists, and scientists daily create these small yet significant connections. And fro"&amp;"m these connections, trust gradually grows -something essential for any major agreements to truly work.
I think that if we support and recognize this everyday diplomacy, the world will become not just more connected but also more understanding. After all"&amp;", it starts with simple things: being open to conversation and respecting different viewpoints. Investing in youth‑led initiatives, providing platforms for cross‑cultural dialogue, and integrating global awareness into education can empower the next gener"&amp;"ation to build bridges rather than walls. In this way, young people don’t just participate in diplomacy- they help shape its future.")</f>
        <v>I believe that young people are now redefining the very essence of diplomacy. In the past, it was often associated with closed‑door negotiations, protocols, and formal attire. Today, diplomacy is increasingly born out of ordinary communication: through correspondence with peers from other countries, joint volunteer projects, and short videos that help people better understand foreign cultures.
Young people naturally transcend borders because the world has always been interconnected to them. We grow up accustomed to diverse perspectives, quick adaptability, and the search for common ground. This flexibility becomes a powerful diplomatic resource, helping us not to argue for the sake of it, but to find where our interests and values intersect. Moreover, our fluency in digital spaces allows us to amplify these efforts: a single post or a brief online discussion can spark meaningful exchanges across continents.
Public diplomacy resonates with me because it makes international dialogue more human and relatable. It’s not about official statements but about stories, emotions, and personal experiences-things that stick in memory and touch the heart. Students, volunteers, young artists, and scientists daily create these small yet significant connections. And from these connections, trust gradually grows -something essential for any major agreements to truly work.
I think that if we support and recognize this everyday diplomacy, the world will become not just more connected but also more understanding. After all, it starts with simple things: being open to conversation and respecting different viewpoints. Investing in youth‑led initiatives, providing platforms for cross‑cultural dialogue, and integrating global awareness into education can empower the next generation to build bridges rather than walls. In this way, young people don’t just participate in diplomacy- they help shape its future.</v>
      </c>
      <c r="AQ93" s="61" t="str">
        <f>IFERROR(__xludf.DUMMYFUNCTION("""COMPUTED_VALUE"""),"Passion is when a light seems to ignite inside you: you don’t just want something-you feel like something’s missing without it. It’s not about a perfect plan or cold calculation; it’s about what stirs you up, what makes you wake up thinking, “Today I’ll t"&amp;"ake at least one step forward.” It helps you move toward your goal because it gives you strength where logic would already give up.
For me, passion is all about education and gaining new knowledge. It’s that spark of curiosity that never quite fades- the"&amp;" excitement of discovering something I didn’t know before, of connecting dots I hadn’t seen were there. Every time I encounter a new idea, it feels like unlocking a door I hadn’t noticed before. This sense of discovery keeps me motivated even when the lea"&amp;"rning process gets challenging.
And it’s not only about academic knowledge. Learning about different cultures, histories, and perspectives helps me see the world more clearly and connect with people on a deeper level. That’s what makes this passion so po"&amp;"werful: it doesn’t just help me grow as a person-it opens doors to new opportunities and new ways of thinking. It also teaches me humility: every new thing I learn reminds me how much more there is to discover. This constant curiosity shapes not only my g"&amp;"oals but also the way I approach problems, encouraging me to seek creative solutions and stay open to unexpected paths. In the end, this passion turns every day into a chance to grow.")</f>
        <v>Passion is when a light seems to ignite inside you: you don’t just want something-you feel like something’s missing without it. It’s not about a perfect plan or cold calculation; it’s about what stirs you up, what makes you wake up thinking, “Today I’ll take at least one step forward.” It helps you move toward your goal because it gives you strength where logic would already give up.
For me, passion is all about education and gaining new knowledge. It’s that spark of curiosity that never quite fades- the excitement of discovering something I didn’t know before, of connecting dots I hadn’t seen were there. Every time I encounter a new idea, it feels like unlocking a door I hadn’t noticed before. This sense of discovery keeps me motivated even when the learning process gets challenging.
And it’s not only about academic knowledge. Learning about different cultures, histories, and perspectives helps me see the world more clearly and connect with people on a deeper level. That’s what makes this passion so powerful: it doesn’t just help me grow as a person-it opens doors to new opportunities and new ways of thinking. It also teaches me humility: every new thing I learn reminds me how much more there is to discover. This constant curiosity shapes not only my goals but also the way I approach problems, encouraging me to seek creative solutions and stay open to unexpected paths. In the end, this passion turns every day into a chance to grow.</v>
      </c>
      <c r="AR93" s="61" t="str">
        <f>IFERROR(__xludf.DUMMYFUNCTION("""COMPUTED_VALUE"""),"Yes, I consider myself a creative person-not necessarily in the sense of creating paintings or music, but in my ability to find unconventional approaches, see connections where others don’t, and present complex ideas in a way that captures people’s attent"&amp;"ion. For me, creativity is, above all, a way of thinking and communicating.
And this fits perfectly into a public diplomacy strategy. For example, instead of another boring report on culture, I’d rather shoot a short video showing a typical day in my cit"&amp;"y-not the postcard sights, but a cozy courtyard, a chat with a neighbor, the smell of fresh pastries from the local bakery. It’s these little details that create a real, living image of a country. Or I could launch a mini‑project: ask friends from differe"&amp;"nt cities to share one personal story about what “home” means to them. These voices would form a genuine mosaic-much more honest than any official brochure.
I also think it’s important not to work alone. When people from different countries collaborate o"&amp;"n a project, it instantly becomes a bridge: we learn to listen to each other, notice the nuances, and respect our differences. Even a small social media challenge or a joint two‑person podcast can be meaningful- as long as it’s sincere. To me, diplomacy i"&amp;"s about trust, and trust isn’t built with grand words, but with small, authentic steps. And if everyone takes just one such step, the world will definitely feel a little closer.")</f>
        <v>Yes, I consider myself a creative person-not necessarily in the sense of creating paintings or music, but in my ability to find unconventional approaches, see connections where others don’t, and present complex ideas in a way that captures people’s attention. For me, creativity is, above all, a way of thinking and communicating.
And this fits perfectly into a public diplomacy strategy. For example, instead of another boring report on culture, I’d rather shoot a short video showing a typical day in my city-not the postcard sights, but a cozy courtyard, a chat with a neighbor, the smell of fresh pastries from the local bakery. It’s these little details that create a real, living image of a country. Or I could launch a mini‑project: ask friends from different cities to share one personal story about what “home” means to them. These voices would form a genuine mosaic-much more honest than any official brochure.
I also think it’s important not to work alone. When people from different countries collaborate on a project, it instantly becomes a bridge: we learn to listen to each other, notice the nuances, and respect our differences. Even a small social media challenge or a joint two‑person podcast can be meaningful- as long as it’s sincere. To me, diplomacy is about trust, and trust isn’t built with grand words, but with small, authentic steps. And if everyone takes just one such step, the world will definitely feel a little closer.</v>
      </c>
      <c r="AS93" s="61" t="str">
        <f>IFERROR(__xludf.DUMMYFUNCTION("""COMPUTED_VALUE"""),"No")</f>
        <v>No</v>
      </c>
      <c r="AT93" s="61" t="str">
        <f>IFERROR(__xludf.DUMMYFUNCTION("""COMPUTED_VALUE"""),"No")</f>
        <v>No</v>
      </c>
      <c r="AU93" s="61" t="str">
        <f>IFERROR(__xludf.DUMMYFUNCTION("""COMPUTED_VALUE"""),"Global Politics, Diplomacy &amp; Identities")</f>
        <v>Global Politics, Diplomacy &amp; Identities</v>
      </c>
      <c r="AV93" s="61" t="str">
        <f>IFERROR(__xludf.DUMMYFUNCTION("""COMPUTED_VALUE"""),"telegram channel")</f>
        <v>telegram channel</v>
      </c>
      <c r="AW93" s="61"/>
      <c r="AX93" s="66" t="str">
        <f>IFERROR(__xludf.DUMMYFUNCTION("""COMPUTED_VALUE"""),"Yes")</f>
        <v>Yes</v>
      </c>
      <c r="AY93" s="66">
        <f>IFERROR(__xludf.DUMMYFUNCTION("""COMPUTED_VALUE"""),15.99)</f>
        <v>15.99</v>
      </c>
      <c r="AZ93" s="61"/>
      <c r="BA93" s="61"/>
      <c r="BB93" s="61"/>
      <c r="BC93" s="61"/>
      <c r="BD93" s="61"/>
      <c r="BE93" s="61"/>
      <c r="BF93" s="61"/>
      <c r="BG93" s="61"/>
      <c r="BH93" s="61"/>
      <c r="BI93" s="61"/>
      <c r="BJ93" s="61"/>
      <c r="BK93" s="61"/>
      <c r="BL93" s="61"/>
      <c r="BM93" s="61"/>
      <c r="BN93" s="61"/>
      <c r="BO93" s="61"/>
      <c r="BP93" s="61"/>
      <c r="BQ93" s="61"/>
      <c r="BR93" s="61"/>
    </row>
    <row r="94" ht="15.75" customHeight="1">
      <c r="A94" s="61" t="str">
        <f>IFERROR(__xludf.DUMMYFUNCTION("""COMPUTED_VALUE"""),"Partial/Full")</f>
        <v>Partial/Full</v>
      </c>
      <c r="B94" s="62">
        <f>IFERROR(__xludf.DUMMYFUNCTION("""COMPUTED_VALUE"""),115.0)</f>
        <v>115</v>
      </c>
      <c r="C94" s="61" t="str">
        <f>IFERROR(__xludf.DUMMYFUNCTION("""COMPUTED_VALUE"""),"Partial")</f>
        <v>Partial</v>
      </c>
      <c r="D94" s="63" t="str">
        <f>IFERROR(__xludf.DUMMYFUNCTION("""COMPUTED_VALUE"""),"Submitted")</f>
        <v>Submitted</v>
      </c>
      <c r="E94" s="63">
        <f>IFERROR(__xludf.DUMMYFUNCTION("""COMPUTED_VALUE"""),46207.94861111111)</f>
        <v>46207.94861</v>
      </c>
      <c r="F94" s="61" t="str">
        <f>IFERROR(__xludf.DUMMYFUNCTION("""COMPUTED_VALUE"""),"Mariia Lemza")</f>
        <v>Mariia Lemza</v>
      </c>
      <c r="G94" s="61" t="str">
        <f>IFERROR(__xludf.DUMMYFUNCTION("""COMPUTED_VALUE"""),"Mariia Lemza")</f>
        <v>Mariia Lemza</v>
      </c>
      <c r="H94" s="61" t="str">
        <f>IFERROR(__xludf.DUMMYFUNCTION("""COMPUTED_VALUE"""),"mashalemza23@gmail.com")</f>
        <v>mashalemza23@gmail.com</v>
      </c>
      <c r="I94" s="61" t="str">
        <f>IFERROR(__xludf.DUMMYFUNCTION("""COMPUTED_VALUE"""),"ketrinpirs222@gmail.com")</f>
        <v>ketrinpirs222@gmail.com</v>
      </c>
      <c r="J94" s="61" t="str">
        <f>IFERROR(__xludf.DUMMYFUNCTION("""COMPUTED_VALUE"""),"rue de l’Ecole Moderne 27, 1070, Brussels, Belgium")</f>
        <v>rue de l’Ecole Moderne 27, 1070, Brussels, Belgium</v>
      </c>
      <c r="K94" s="61" t="str">
        <f>IFERROR(__xludf.DUMMYFUNCTION("""COMPUTED_VALUE"""),"Ukrainian")</f>
        <v>Ukrainian</v>
      </c>
      <c r="L94" s="64" t="str">
        <f>IFERROR(__xludf.DUMMYFUNCTION("""COMPUTED_VALUE"""),"+32456717187")</f>
        <v>+32456717187</v>
      </c>
      <c r="M94" s="64">
        <f>IFERROR(__xludf.DUMMYFUNCTION("""COMPUTED_VALUE"""),38983.0)</f>
        <v>38983</v>
      </c>
      <c r="N94" s="61" t="str">
        <f>IFERROR(__xludf.DUMMYFUNCTION("""COMPUTED_VALUE"""),"GE377825")</f>
        <v>GE377825</v>
      </c>
      <c r="O94" s="61" t="str">
        <f>IFERROR(__xludf.DUMMYFUNCTION("""COMPUTED_VALUE"""),"+380503521688")</f>
        <v>+380503521688</v>
      </c>
      <c r="P94" s="65" t="str">
        <f>IFERROR(__xludf.DUMMYFUNCTION("""COMPUTED_VALUE"""),"https://www.linkedin.com/in/mariia-lemza-90ba74355?utm_source=share_via&amp;utm_content=profile&amp;utm_medium=member_ios")</f>
        <v>https://www.linkedin.com/in/mariia-lemza-90ba74355?utm_source=share_via&amp;utm_content=profile&amp;utm_medium=member_ios</v>
      </c>
      <c r="Q94" s="61"/>
      <c r="R94" s="61"/>
      <c r="S94" s="61" t="str">
        <f>IFERROR(__xludf.DUMMYFUNCTION("""COMPUTED_VALUE"""),"Passport.pdf")</f>
        <v>Passport.pdf</v>
      </c>
      <c r="T94" s="61" t="str">
        <f>IFERROR(__xludf.DUMMYFUNCTION("""COMPUTED_VALUE"""),"Photo.pdf")</f>
        <v>Photo.pdf</v>
      </c>
      <c r="U94" s="61" t="str">
        <f>IFERROR(__xludf.DUMMYFUNCTION("""COMPUTED_VALUE"""),"Bachelor")</f>
        <v>Bachelor</v>
      </c>
      <c r="V94" s="61" t="str">
        <f>IFERROR(__xludf.DUMMYFUNCTION("""COMPUTED_VALUE"""),"Business Administration")</f>
        <v>Business Administration</v>
      </c>
      <c r="W94" s="61"/>
      <c r="X94" s="61" t="str">
        <f>IFERROR(__xludf.DUMMYFUNCTION("""COMPUTED_VALUE"""),"KU Leuven")</f>
        <v>KU Leuven</v>
      </c>
      <c r="Y94" s="61" t="str">
        <f>IFERROR(__xludf.DUMMYFUNCTION("""COMPUTED_VALUE"""),"Yes")</f>
        <v>Yes</v>
      </c>
      <c r="Z94" s="61" t="str">
        <f>IFERROR(__xludf.DUMMYFUNCTION("""COMPUTED_VALUE"""),"Belgium")</f>
        <v>Belgium</v>
      </c>
      <c r="AA94" s="61" t="str">
        <f>IFERROR(__xludf.DUMMYFUNCTION("""COMPUTED_VALUE"""),"Yes")</f>
        <v>Yes</v>
      </c>
      <c r="AB94" s="61" t="str">
        <f>IFERROR(__xludf.DUMMYFUNCTION("""COMPUTED_VALUE"""),"Universidad de Chile")</f>
        <v>Universidad de Chile</v>
      </c>
      <c r="AC94" s="61"/>
      <c r="AD94" s="61" t="str">
        <f>IFERROR(__xludf.DUMMYFUNCTION("""COMPUTED_VALUE"""),"ISCEB Brussels")</f>
        <v>ISCEB Brussels</v>
      </c>
      <c r="AE94" s="65" t="str">
        <f>IFERROR(__xludf.DUMMYFUNCTION("""COMPUTED_VALUE"""),"https://www.instagram.com/isceb.brussels?igsh=bzV6cXJqM3Nmbmli")</f>
        <v>https://www.instagram.com/isceb.brussels?igsh=bzV6cXJqM3Nmbmli</v>
      </c>
      <c r="AF94" s="61" t="str">
        <f>IFERROR(__xludf.DUMMYFUNCTION("""COMPUTED_VALUE"""),"Student representative")</f>
        <v>Student representative</v>
      </c>
      <c r="AG94" s="61" t="str">
        <f>IFERROR(__xludf.DUMMYFUNCTION("""COMPUTED_VALUE"""),"2")</f>
        <v>2</v>
      </c>
      <c r="AH94" s="61" t="str">
        <f>IFERROR(__xludf.DUMMYFUNCTION("""COMPUTED_VALUE"""),"No")</f>
        <v>No</v>
      </c>
      <c r="AI94" s="61"/>
      <c r="AJ94" s="61"/>
      <c r="AK94" s="61"/>
      <c r="AL94" s="61" t="str">
        <f>IFERROR(__xludf.DUMMYFUNCTION("""COMPUTED_VALUE"""),"International communication, event management, negotiation skills, photography, marketing")</f>
        <v>International communication, event management, negotiation skills, photography, marketing</v>
      </c>
      <c r="AM94" s="61" t="str">
        <f>IFERROR(__xludf.DUMMYFUNCTION("""COMPUTED_VALUE"""),"Mariia Lemzas CV.pdf")</f>
        <v>Mariia Lemzas CV.pdf</v>
      </c>
      <c r="AN94" s="61" t="str">
        <f>IFERROR(__xludf.DUMMYFUNCTION("""COMPUTED_VALUE"""),"Yes, as a student representative in ISCEB, I promoted equality among students of KU Leuven and pushed for better policies that gave us a real voice in decisions made by our faculty. Moreover, when the war in Ukraine began, I organized fundraising campaign"&amp;"s at my school to support the most affected people and our soldiers who are bravely fighting for our freedom, mobilizing my friends and schoolmates to contribute into humanitarian efforts. Both of these experiences have taught me that change starts locall"&amp;"y and that it is always better to take responsibility within your own community than to wait for someone else to act.")</f>
        <v>Yes, as a student representative in ISCEB, I promoted equality among students of KU Leuven and pushed for better policies that gave us a real voice in decisions made by our faculty. Moreover, when the war in Ukraine began, I organized fundraising campaigns at my school to support the most affected people and our soldiers who are bravely fighting for our freedom, mobilizing my friends and schoolmates to contribute into humanitarian efforts. Both of these experiences have taught me that change starts locally and that it is always better to take responsibility within your own community than to wait for someone else to act.</v>
      </c>
      <c r="AO94" s="61" t="str">
        <f>IFERROR(__xludf.DUMMYFUNCTION("""COMPUTED_VALUE"""),"I believe Ukraine is currently the most diplomatically significant country in the world. The war in my homecountry has reshaped alliances, forced the EU to redefine its identity and tested NATO's unity in real time. Ukraine sits at the center of negotiati"&amp;"ons over energy security and global grain supply, for instance, which directly affects food security in Africa and the Middle East. Beyond geopolitics, it is also Ukrainians who make Ukraine so significant - millions of us who kept working and rebuilding "&amp;"their lives while the world debated our fate in rooms far away from the war-zone. For me, this is not just an observation, it is something personal. The path of my country: whether toward EU or a negotiated settlement with Russia will, in my opinion, defi"&amp;"ne the international order for decades.")</f>
        <v>I believe Ukraine is currently the most diplomatically significant country in the world. The war in my homecountry has reshaped alliances, forced the EU to redefine its identity and tested NATO's unity in real time. Ukraine sits at the center of negotiations over energy security and global grain supply, for instance, which directly affects food security in Africa and the Middle East. Beyond geopolitics, it is also Ukrainians who make Ukraine so significant - millions of us who kept working and rebuilding their lives while the world debated our fate in rooms far away from the war-zone. For me, this is not just an observation, it is something personal. The path of my country: whether toward EU or a negotiated settlement with Russia will, in my opinion, define the international order for decades.</v>
      </c>
      <c r="AP94" s="61" t="str">
        <f>IFERROR(__xludf.DUMMYFUNCTION("""COMPUTED_VALUE"""),"I believe that youth's role in diplomacy is to act as a bridge between formal institutions and real people. Governments negotiate treaties, but we shape how those relationships are actually lived through cultural exchange and cross-border friendships that"&amp;" will outlast any single government. The younger generation has grown up in a completely different environment, where people do not have to stay close to have a sense of community. We are able to connect with each other from different parts of the world a"&amp;"nd still find similarities, because the distance is no longer a threat. Youth brings authenticity that official channels often lack, because we are advocating for the world we will eventually inherit, not just dealing with the «existing» one. 
 I relate c"&amp;"losely to Public Diplomacy because my own life has been built across borders. I grew up engaging with the Ukrainian, Russian, Spanish, French and English-speaking communities, and I am currently based in Brussels - the capital of European diplomacy, while"&amp;" preparing to study Cross-Cultural Communication for my Master's. When the war in Ukraine began, my fundraising work was not an official diplomacy, but it was a form of it: me and other teens trying to keep the community together. That, to me, is diplomac"&amp;"y in its purest form: people from diverse backgrounds with different values, connecting to each other and closing the distance between nations.")</f>
        <v>I believe that youth's role in diplomacy is to act as a bridge between formal institutions and real people. Governments negotiate treaties, but we shape how those relationships are actually lived through cultural exchange and cross-border friendships that will outlast any single government. The younger generation has grown up in a completely different environment, where people do not have to stay close to have a sense of community. We are able to connect with each other from different parts of the world and still find similarities, because the distance is no longer a threat. Youth brings authenticity that official channels often lack, because we are advocating for the world we will eventually inherit, not just dealing with the «existing» one. 
 I relate closely to Public Diplomacy because my own life has been built across borders. I grew up engaging with the Ukrainian, Russian, Spanish, French and English-speaking communities, and I am currently based in Brussels - the capital of European diplomacy, while preparing to study Cross-Cultural Communication for my Master's. When the war in Ukraine began, my fundraising work was not an official diplomacy, but it was a form of it: me and other teens trying to keep the community together. That, to me, is diplomacy in its purest form: people from diverse backgrounds with different values, connecting to each other and closing the distance between nations.</v>
      </c>
      <c r="AQ94" s="61" t="str">
        <f>IFERROR(__xludf.DUMMYFUNCTION("""COMPUTED_VALUE"""),"For me passion is the force that keeps me moving when discipline alone is not enough anymore. In my opinion, it can also be defined as the difference between doing something because you have to and doing it because you cannot imagine your life without it."&amp;" For me, personally, passion shows up in a curiosity for the world beyond familiar borders: the same curiosity that made me go for an exchange semester in Chile last year, putting myself in a completely different cultural environment. After this particula"&amp;"r experience, I clearly understood that travel is not just a movement for me, but rather a way of personal growth. I am fascinated by learning new cultures, observing the behaviors of different nations and finding a way to connect with them on a deeper le"&amp;"vel. That is what passion does, in my opinion: it turns curiosity into direction, and eventually direction into purpose.")</f>
        <v>For me passion is the force that keeps me moving when discipline alone is not enough anymore. In my opinion, it can also be defined as the difference between doing something because you have to and doing it because you cannot imagine your life without it. For me, personally, passion shows up in a curiosity for the world beyond familiar borders: the same curiosity that made me go for an exchange semester in Chile last year, putting myself in a completely different cultural environment. After this particular experience, I clearly understood that travel is not just a movement for me, but rather a way of personal growth. I am fascinated by learning new cultures, observing the behaviors of different nations and finding a way to connect with them on a deeper level. That is what passion does, in my opinion: it turns curiosity into direction, and eventually direction into purpose.</v>
      </c>
      <c r="AR94" s="61" t="str">
        <f>IFERROR(__xludf.DUMMYFUNCTION("""COMPUTED_VALUE"""),"Since early childhood, I have really enjoyed being creative. Drawing, writing stories, poems, or even mini-books always seemed to me like the best way to spend my free time. When I grew older, learning languages and planning travels to different countries"&amp;" became other things that captivated me deeply. However, creativity is not only about activities, but it is also a way of life. The traditional way of doing things is often not efficient, especially in diplomacy, since you should be able to rapidly change"&amp;" your approaches in different environments. This is the skill I believe I also possess. I try to find an alternative, more interesting, and unconventional approach and tailor it to the exact situation. Moreover, I never take the simple and traditional pat"&amp;"h if there is an option to do something “my way.” 
In my opinion, this is exactly the approach that modern public diplomacy requires. People all over the world are tired of artificial, bureaucratic statements and texts that evoke no emotions other than bo"&amp;"redom. Modern public diplomacy requires creativity, and I am confident that I am the person capable of bringing unconventional and unusual approaches to this field and making it more understandable and resonant with a global audience.")</f>
        <v>Since early childhood, I have really enjoyed being creative. Drawing, writing stories, poems, or even mini-books always seemed to me like the best way to spend my free time. When I grew older, learning languages and planning travels to different countries became other things that captivated me deeply. However, creativity is not only about activities, but it is also a way of life. The traditional way of doing things is often not efficient, especially in diplomacy, since you should be able to rapidly change your approaches in different environments. This is the skill I believe I also possess. I try to find an alternative, more interesting, and unconventional approach and tailor it to the exact situation. Moreover, I never take the simple and traditional path if there is an option to do something “my way.” 
In my opinion, this is exactly the approach that modern public diplomacy requires. People all over the world are tired of artificial, bureaucratic statements and texts that evoke no emotions other than boredom. Modern public diplomacy requires creativity, and I am confident that I am the person capable of bringing unconventional and unusual approaches to this field and making it more understandable and resonant with a global audience.</v>
      </c>
      <c r="AS94" s="61" t="str">
        <f>IFERROR(__xludf.DUMMYFUNCTION("""COMPUTED_VALUE"""),"Yes")</f>
        <v>Yes</v>
      </c>
      <c r="AT94" s="61" t="str">
        <f>IFERROR(__xludf.DUMMYFUNCTION("""COMPUTED_VALUE"""),"Yes")</f>
        <v>Yes</v>
      </c>
      <c r="AU94" s="61" t="str">
        <f>IFERROR(__xludf.DUMMYFUNCTION("""COMPUTED_VALUE"""),"Philosophy, Media &amp; Diplomacy in International Relations")</f>
        <v>Philosophy, Media &amp; Diplomacy in International Relations</v>
      </c>
      <c r="AV94" s="61" t="str">
        <f>IFERROR(__xludf.DUMMYFUNCTION("""COMPUTED_VALUE"""),"Telegram channel")</f>
        <v>Telegram channel</v>
      </c>
      <c r="AW94" s="61" t="str">
        <f>IFERROR(__xludf.DUMMYFUNCTION("""COMPUTED_VALUE"""),"Strategic Communication")</f>
        <v>Strategic Communication</v>
      </c>
      <c r="AX94" s="66" t="str">
        <f>IFERROR(__xludf.DUMMYFUNCTION("""COMPUTED_VALUE"""),"Yes")</f>
        <v>Yes</v>
      </c>
      <c r="AY94" s="66">
        <f>IFERROR(__xludf.DUMMYFUNCTION("""COMPUTED_VALUE"""),15.99)</f>
        <v>15.99</v>
      </c>
      <c r="AZ94" s="61"/>
      <c r="BA94" s="61"/>
      <c r="BB94" s="61"/>
      <c r="BC94" s="61"/>
      <c r="BD94" s="61"/>
      <c r="BE94" s="61"/>
      <c r="BF94" s="61"/>
      <c r="BG94" s="61"/>
      <c r="BH94" s="61"/>
      <c r="BI94" s="61"/>
      <c r="BJ94" s="61"/>
      <c r="BK94" s="61"/>
      <c r="BL94" s="61"/>
      <c r="BM94" s="61"/>
      <c r="BN94" s="61"/>
      <c r="BO94" s="61"/>
      <c r="BP94" s="61"/>
      <c r="BQ94" s="61"/>
      <c r="BR94" s="61"/>
    </row>
    <row r="95" ht="15.75" customHeight="1">
      <c r="A95" s="61" t="str">
        <f>IFERROR(__xludf.DUMMYFUNCTION("""COMPUTED_VALUE"""),"")</f>
        <v/>
      </c>
      <c r="B95" s="62">
        <f>IFERROR(__xludf.DUMMYFUNCTION("""COMPUTED_VALUE"""),116.0)</f>
        <v>116</v>
      </c>
      <c r="C95" s="61" t="str">
        <f>IFERROR(__xludf.DUMMYFUNCTION("""COMPUTED_VALUE"""),"Self")</f>
        <v>Self</v>
      </c>
      <c r="D95" s="63" t="str">
        <f>IFERROR(__xludf.DUMMYFUNCTION("""COMPUTED_VALUE"""),"Submitted")</f>
        <v>Submitted</v>
      </c>
      <c r="E95" s="63">
        <f>IFERROR(__xludf.DUMMYFUNCTION("""COMPUTED_VALUE"""),46207.98541666667)</f>
        <v>46207.98542</v>
      </c>
      <c r="F95" s="61" t="str">
        <f>IFERROR(__xludf.DUMMYFUNCTION("""COMPUTED_VALUE"""),"Deena Alabboddi")</f>
        <v>Deena Alabboddi</v>
      </c>
      <c r="G95" s="61" t="str">
        <f>IFERROR(__xludf.DUMMYFUNCTION("""COMPUTED_VALUE"""),"Deena Emad Gataa")</f>
        <v>Deena Emad Gataa</v>
      </c>
      <c r="H95" s="61" t="str">
        <f>IFERROR(__xludf.DUMMYFUNCTION("""COMPUTED_VALUE"""),"deenagataa@gmail.com")</f>
        <v>deenagataa@gmail.com</v>
      </c>
      <c r="I95" s="61" t="str">
        <f>IFERROR(__xludf.DUMMYFUNCTION("""COMPUTED_VALUE"""),"tatwash@gmail.com")</f>
        <v>tatwash@gmail.com</v>
      </c>
      <c r="J95" s="61" t="str">
        <f>IFERROR(__xludf.DUMMYFUNCTION("""COMPUTED_VALUE"""),"Albayaa, Qater Alnada St., Baghdad, Iraq")</f>
        <v>Albayaa, Qater Alnada St., Baghdad, Iraq</v>
      </c>
      <c r="K95" s="61" t="str">
        <f>IFERROR(__xludf.DUMMYFUNCTION("""COMPUTED_VALUE"""),"Iraqi")</f>
        <v>Iraqi</v>
      </c>
      <c r="L95" s="64" t="str">
        <f>IFERROR(__xludf.DUMMYFUNCTION("""COMPUTED_VALUE"""),"+9647736343894")</f>
        <v>+9647736343894</v>
      </c>
      <c r="M95" s="64">
        <f>IFERROR(__xludf.DUMMYFUNCTION("""COMPUTED_VALUE"""),36526.0)</f>
        <v>36526</v>
      </c>
      <c r="N95" s="61" t="str">
        <f>IFERROR(__xludf.DUMMYFUNCTION("""COMPUTED_VALUE"""),"A14989540")</f>
        <v>A14989540</v>
      </c>
      <c r="O95" s="61" t="str">
        <f>IFERROR(__xludf.DUMMYFUNCTION("""COMPUTED_VALUE"""),"+9647708979424")</f>
        <v>+9647708979424</v>
      </c>
      <c r="P95" s="61"/>
      <c r="Q95" s="65" t="str">
        <f>IFERROR(__xludf.DUMMYFUNCTION("""COMPUTED_VALUE"""),"https://www.instagram.com/deena_is_here?igsh=Zmo5b21seGpjMGVn")</f>
        <v>https://www.instagram.com/deena_is_here?igsh=Zmo5b21seGpjMGVn</v>
      </c>
      <c r="R95" s="61"/>
      <c r="S95" s="61" t="str">
        <f>IFERROR(__xludf.DUMMYFUNCTION("""COMPUTED_VALUE"""),"Screenshot_20260629_124257_cn_wps_moffice_eng_PDFReader1.jpg")</f>
        <v>Screenshot_20260629_124257_cn_wps_moffice_eng_PDFReader1.jpg</v>
      </c>
      <c r="T95" s="61" t="str">
        <f>IFERROR(__xludf.DUMMYFUNCTION("""COMPUTED_VALUE"""),"IMG_20260621_202725_384.jpg")</f>
        <v>IMG_20260621_202725_384.jpg</v>
      </c>
      <c r="U95" s="61" t="str">
        <f>IFERROR(__xludf.DUMMYFUNCTION("""COMPUTED_VALUE"""),"Master's")</f>
        <v>Master's</v>
      </c>
      <c r="V95" s="61" t="str">
        <f>IFERROR(__xludf.DUMMYFUNCTION("""COMPUTED_VALUE"""),"Masters of Arts")</f>
        <v>Masters of Arts</v>
      </c>
      <c r="W95" s="61" t="str">
        <f>IFERROR(__xludf.DUMMYFUNCTION("""COMPUTED_VALUE"""),"English Language and Literature")</f>
        <v>English Language and Literature</v>
      </c>
      <c r="X95" s="61" t="str">
        <f>IFERROR(__xludf.DUMMYFUNCTION("""COMPUTED_VALUE"""),"University of Baghdad")</f>
        <v>University of Baghdad</v>
      </c>
      <c r="Y95" s="61" t="str">
        <f>IFERROR(__xludf.DUMMYFUNCTION("""COMPUTED_VALUE"""),"No")</f>
        <v>No</v>
      </c>
      <c r="Z95" s="61" t="str">
        <f>IFERROR(__xludf.DUMMYFUNCTION("""COMPUTED_VALUE"""),"Iraq")</f>
        <v>Iraq</v>
      </c>
      <c r="AA95" s="61" t="str">
        <f>IFERROR(__xludf.DUMMYFUNCTION("""COMPUTED_VALUE"""),"No")</f>
        <v>No</v>
      </c>
      <c r="AB95" s="61"/>
      <c r="AC95" s="61" t="str">
        <f>IFERROR(__xludf.DUMMYFUNCTION("""COMPUTED_VALUE"""),"Yes.")</f>
        <v>Yes.</v>
      </c>
      <c r="AD95" s="61" t="str">
        <f>IFERROR(__xludf.DUMMYFUNCTION("""COMPUTED_VALUE"""),"Yes, Tedx Baghdad")</f>
        <v>Yes, Tedx Baghdad</v>
      </c>
      <c r="AE95" s="65" t="str">
        <f>IFERROR(__xludf.DUMMYFUNCTION("""COMPUTED_VALUE"""),"https://www.ted.com/watch/tedx-talks")</f>
        <v>https://www.ted.com/watch/tedx-talks</v>
      </c>
      <c r="AF95" s="61" t="str">
        <f>IFERROR(__xludf.DUMMYFUNCTION("""COMPUTED_VALUE"""),"Interpeter and Translator")</f>
        <v>Interpeter and Translator</v>
      </c>
      <c r="AG95" s="61" t="str">
        <f>IFERROR(__xludf.DUMMYFUNCTION("""COMPUTED_VALUE"""),"2 years of Volunteering")</f>
        <v>2 years of Volunteering</v>
      </c>
      <c r="AH95" s="61" t="str">
        <f>IFERROR(__xludf.DUMMYFUNCTION("""COMPUTED_VALUE"""),"Yes")</f>
        <v>Yes</v>
      </c>
      <c r="AI95" s="61" t="str">
        <f>IFERROR(__xludf.DUMMYFUNCTION("""COMPUTED_VALUE"""),"Instructor and Radio Host")</f>
        <v>Instructor and Radio Host</v>
      </c>
      <c r="AJ95" s="61" t="str">
        <f>IFERROR(__xludf.DUMMYFUNCTION("""COMPUTED_VALUE"""),"yes")</f>
        <v>yes</v>
      </c>
      <c r="AK95" s="61" t="str">
        <f>IFERROR(__xludf.DUMMYFUNCTION("""COMPUTED_VALUE"""),"Student House")</f>
        <v>Student House</v>
      </c>
      <c r="AL95" s="61" t="str">
        <f>IFERROR(__xludf.DUMMYFUNCTION("""COMPUTED_VALUE"""),"Leadership, Public Speaking, Public Diplomacy, Teaching, Translation &amp; Interpretation, Strategic Communication, Project Management, Cross-Cultural Communication, Youth Engagement, Content Creation, Event Coordination.")</f>
        <v>Leadership, Public Speaking, Public Diplomacy, Teaching, Translation &amp; Interpretation, Strategic Communication, Project Management, Cross-Cultural Communication, Youth Engagement, Content Creation, Event Coordination.</v>
      </c>
      <c r="AM95" s="61" t="str">
        <f>IFERROR(__xludf.DUMMYFUNCTION("""COMPUTED_VALUE"""),"Deena Emad Gataa ( CV ).pdf")</f>
        <v>Deena Emad Gataa ( CV ).pdf</v>
      </c>
      <c r="AN95" s="61" t="str">
        <f>IFERROR(__xludf.DUMMYFUNCTION("""COMPUTED_VALUE"""),"Growing up in Iraq during years of division taught me that misunderstanding often causes greater damage than disagreement itself. That experience inspired me to use education and communication as tools for change. I have taught students from diverse backg"&amp;"rounds, translated ideas across languages, volunteered with TEDx Baghdad to promote the exchange of ideas, and used radio and educational media to encourage dialogue and lifelong learning. Rather than seeking to change the world through grand gestures, I "&amp;"focus on changing individual perspectives. Every conversation that replaces prejudice with understanding is, to me, a meaningful step toward a more peaceful and connected society.")</f>
        <v>Growing up in Iraq during years of division taught me that misunderstanding often causes greater damage than disagreement itself. That experience inspired me to use education and communication as tools for change. I have taught students from diverse backgrounds, translated ideas across languages, volunteered with TEDx Baghdad to promote the exchange of ideas, and used radio and educational media to encourage dialogue and lifelong learning. Rather than seeking to change the world through grand gestures, I focus on changing individual perspectives. Every conversation that replaces prejudice with understanding is, to me, a meaningful step toward a more peaceful and connected society.</v>
      </c>
      <c r="AO95" s="61" t="str">
        <f>IFERROR(__xludf.DUMMYFUNCTION("""COMPUTED_VALUE"""),"I do not believe diplomacy belongs to a single country, as every nation contributes to global dialogue in different ways. However, if I had to choose one, I would select Indonesia because it demonstrates how diversity can become a foundation for cooperati"&amp;"on rather than conflict. Home to hundreds of ethnic groups, languages, and cultures, Indonesia has built its identity around coexistence and dialogue. Its active role in regional cooperation through ASEAN and its commitment to cultural exchange reflect th"&amp;"e essence of public diplomacy. To me, the most diplomatically significant countries are those that build trust, encourage mutual understanding, and create opportunities for people to connect across differences.")</f>
        <v>I do not believe diplomacy belongs to a single country, as every nation contributes to global dialogue in different ways. However, if I had to choose one, I would select Indonesia because it demonstrates how diversity can become a foundation for cooperation rather than conflict. Home to hundreds of ethnic groups, languages, and cultures, Indonesia has built its identity around coexistence and dialogue. Its active role in regional cooperation through ASEAN and its commitment to cultural exchange reflect the essence of public diplomacy. To me, the most diplomatically significant countries are those that build trust, encourage mutual understanding, and create opportunities for people to connect across differences.</v>
      </c>
      <c r="AP95" s="61" t="str">
        <f>IFERROR(__xludf.DUMMYFUNCTION("""COMPUTED_VALUE"""),"Growing up in Iraq taught me that conflict often begins long before politics—it begins when people stop understanding one another. That realization shaped my belief that young people have a unique responsibility in diplomacy. Unlike traditional diplomacy,"&amp;" public diplomacy starts with individuals who build trust through education, communication, and cultural exchange. I relate to this deeply because I have chosen those tools throughout my career. As an English instructor, I encourage students to explore di"&amp;"fferent perspectives through language. As a translator, I bridge linguistic and cultural barriers. As a radio presenter, I introduce audiences to music, stories, and traditions from around the world, creating spaces where curiosity replaces stereotypes. T"&amp;"hese experiences have shown me that diplomacy is not confined to conference rooms; it happens whenever people listen with respect and engage across differences. At YPDS, I hope to learn from diverse young leaders and develop practical collaborations that "&amp;"continue beyond the summit. My goal is to return home with stronger strategies to expand educational and cultural initiatives that connect communities and inspire more young people to become ambassadors of dialogue and mutual understanding.")</f>
        <v>Growing up in Iraq taught me that conflict often begins long before politics—it begins when people stop understanding one another. That realization shaped my belief that young people have a unique responsibility in diplomacy. Unlike traditional diplomacy, public diplomacy starts with individuals who build trust through education, communication, and cultural exchange. I relate to this deeply because I have chosen those tools throughout my career. As an English instructor, I encourage students to explore different perspectives through language. As a translator, I bridge linguistic and cultural barriers. As a radio presenter, I introduce audiences to music, stories, and traditions from around the world, creating spaces where curiosity replaces stereotypes. These experiences have shown me that diplomacy is not confined to conference rooms; it happens whenever people listen with respect and engage across differences. At YPDS, I hope to learn from diverse young leaders and develop practical collaborations that continue beyond the summit. My goal is to return home with stronger strategies to expand educational and cultural initiatives that connect communities and inspire more young people to become ambassadors of dialogue and mutual understanding.</v>
      </c>
      <c r="AQ95" s="61" t="str">
        <f>IFERROR(__xludf.DUMMYFUNCTION("""COMPUTED_VALUE"""),"To me, passion is not a moment of excitement but a long-term commitment to a purpose, even when progress is slow or challenges arise. My passion is creating opportunities for learning and understanding because I believe education has the power to transfor"&amp;"m lives and strengthen communities. This passion has guided every stage of my journey, from teaching English and translating across languages to hosting a radio program that introduces audiences to different cultures and perspectives. Each role has reinfo"&amp;"rced my belief that knowledge and dialogue can bridge differences and inspire positive change. Passion keeps me focused because it gives meaning to my work beyond personal achievement. It continues to shape my ambition to use education and public diplomac"&amp;"y to empower young people and foster greater understanding across cultures")</f>
        <v>To me, passion is not a moment of excitement but a long-term commitment to a purpose, even when progress is slow or challenges arise. My passion is creating opportunities for learning and understanding because I believe education has the power to transform lives and strengthen communities. This passion has guided every stage of my journey, from teaching English and translating across languages to hosting a radio program that introduces audiences to different cultures and perspectives. Each role has reinforced my belief that knowledge and dialogue can bridge differences and inspire positive change. Passion keeps me focused because it gives meaning to my work beyond personal achievement. It continues to shape my ambition to use education and public diplomacy to empower young people and foster greater understanding across cultures</v>
      </c>
      <c r="AR95" s="61" t="str">
        <f>IFERROR(__xludf.DUMMYFUNCTION("""COMPUTED_VALUE"""),"Yes. I believe creativity is one of the most effective tools in public diplomacy because it makes complex ideas accessible and encourages people to connect emotionally before they engage intellectually. My creativity lies in transforming education into me"&amp;"aningful experiences. Through teaching, radio broadcasting, and educational content, I have learned that stories, literature, and music can break down stereotypes more effectively than arguments alone. My public diplomacy strategy is to create educational"&amp;" and cultural initiatives where young people from different backgrounds exchange stories, languages, and traditions while working together on shared challenges. Such initiatives replace assumptions with genuine dialogue and help build lasting relationship"&amp;"s across cultures. At YPDS, I hope to refine these ideas by learning from participants worldwide and developing collaborative projects that continue after the summit. I believe diplomacy becomes truly effective when creativity inspires people not only to "&amp;"listen to one another, but also to understand, respect, and work together despite their differences.")</f>
        <v>Yes. I believe creativity is one of the most effective tools in public diplomacy because it makes complex ideas accessible and encourages people to connect emotionally before they engage intellectually. My creativity lies in transforming education into meaningful experiences. Through teaching, radio broadcasting, and educational content, I have learned that stories, literature, and music can break down stereotypes more effectively than arguments alone. My public diplomacy strategy is to create educational and cultural initiatives where young people from different backgrounds exchange stories, languages, and traditions while working together on shared challenges. Such initiatives replace assumptions with genuine dialogue and help build lasting relationships across cultures. At YPDS, I hope to refine these ideas by learning from participants worldwide and developing collaborative projects that continue after the summit. I believe diplomacy becomes truly effective when creativity inspires people not only to listen to one another, but also to understand, respect, and work together despite their differences.</v>
      </c>
      <c r="AS95" s="61" t="str">
        <f>IFERROR(__xludf.DUMMYFUNCTION("""COMPUTED_VALUE"""),"Yes")</f>
        <v>Yes</v>
      </c>
      <c r="AT95" s="61" t="str">
        <f>IFERROR(__xludf.DUMMYFUNCTION("""COMPUTED_VALUE"""),"Yes")</f>
        <v>Yes</v>
      </c>
      <c r="AU95" s="61" t="str">
        <f>IFERROR(__xludf.DUMMYFUNCTION("""COMPUTED_VALUE"""),"International Public Service Relations")</f>
        <v>International Public Service Relations</v>
      </c>
      <c r="AV95" s="61" t="str">
        <f>IFERROR(__xludf.DUMMYFUNCTION("""COMPUTED_VALUE"""),"Social Media")</f>
        <v>Social Media</v>
      </c>
      <c r="AW95" s="61" t="str">
        <f>IFERROR(__xludf.DUMMYFUNCTION("""COMPUTED_VALUE"""),"People-to-People Diplomacy Through Education and Story")</f>
        <v>People-to-People Diplomacy Through Education and Story</v>
      </c>
      <c r="AX95" s="66" t="str">
        <f>IFERROR(__xludf.DUMMYFUNCTION("""COMPUTED_VALUE"""),"Yes")</f>
        <v>Yes</v>
      </c>
      <c r="AY95" s="66">
        <f>IFERROR(__xludf.DUMMYFUNCTION("""COMPUTED_VALUE"""),15.99)</f>
        <v>15.99</v>
      </c>
      <c r="AZ95" s="61"/>
      <c r="BA95" s="61"/>
      <c r="BB95" s="61"/>
      <c r="BC95" s="61"/>
      <c r="BD95" s="61"/>
      <c r="BE95" s="61"/>
      <c r="BF95" s="61"/>
      <c r="BG95" s="61"/>
      <c r="BH95" s="61"/>
      <c r="BI95" s="61"/>
      <c r="BJ95" s="61"/>
      <c r="BK95" s="61"/>
      <c r="BL95" s="61"/>
      <c r="BM95" s="61"/>
      <c r="BN95" s="61"/>
      <c r="BO95" s="61"/>
      <c r="BP95" s="61"/>
      <c r="BQ95" s="61"/>
      <c r="BR95" s="61"/>
    </row>
    <row r="96" ht="15.75" customHeight="1">
      <c r="A96" s="61" t="str">
        <f>IFERROR(__xludf.DUMMYFUNCTION("""COMPUTED_VALUE"""),"")</f>
        <v/>
      </c>
      <c r="B96" s="62">
        <f>IFERROR(__xludf.DUMMYFUNCTION("""COMPUTED_VALUE"""),117.0)</f>
        <v>117</v>
      </c>
      <c r="C96" s="61" t="str">
        <f>IFERROR(__xludf.DUMMYFUNCTION("""COMPUTED_VALUE"""),"Self")</f>
        <v>Self</v>
      </c>
      <c r="D96" s="63" t="str">
        <f>IFERROR(__xludf.DUMMYFUNCTION("""COMPUTED_VALUE"""),"Submitted")</f>
        <v>Submitted</v>
      </c>
      <c r="E96" s="63">
        <f>IFERROR(__xludf.DUMMYFUNCTION("""COMPUTED_VALUE"""),46208.14305555556)</f>
        <v>46208.14306</v>
      </c>
      <c r="F96" s="61" t="str">
        <f>IFERROR(__xludf.DUMMYFUNCTION("""COMPUTED_VALUE"""),"Sundus Shukur")</f>
        <v>Sundus Shukur</v>
      </c>
      <c r="G96" s="61" t="str">
        <f>IFERROR(__xludf.DUMMYFUNCTION("""COMPUTED_VALUE"""),"Sundus Ali Hussein Shukur")</f>
        <v>Sundus Ali Hussein Shukur</v>
      </c>
      <c r="H96" s="61" t="str">
        <f>IFERROR(__xludf.DUMMYFUNCTION("""COMPUTED_VALUE"""),"sundusa.shukur@uokufa.edu.iq")</f>
        <v>sundusa.shukur@uokufa.edu.iq</v>
      </c>
      <c r="I96" s="61" t="str">
        <f>IFERROR(__xludf.DUMMYFUNCTION("""COMPUTED_VALUE"""),"sundus.ali17@yahoo.com")</f>
        <v>sundus.ali17@yahoo.com</v>
      </c>
      <c r="J96" s="61" t="str">
        <f>IFERROR(__xludf.DUMMYFUNCTION("""COMPUTED_VALUE"""),"al-Adala, Kufa, Please select, Iraq")</f>
        <v>al-Adala, Kufa, Please select, Iraq</v>
      </c>
      <c r="K96" s="61" t="str">
        <f>IFERROR(__xludf.DUMMYFUNCTION("""COMPUTED_VALUE"""),"Iraqi")</f>
        <v>Iraqi</v>
      </c>
      <c r="L96" s="64" t="str">
        <f>IFERROR(__xludf.DUMMYFUNCTION("""COMPUTED_VALUE"""),"+9647805987451")</f>
        <v>+9647805987451</v>
      </c>
      <c r="M96" s="64">
        <f>IFERROR(__xludf.DUMMYFUNCTION("""COMPUTED_VALUE"""),32997.0)</f>
        <v>32997</v>
      </c>
      <c r="N96" s="61" t="str">
        <f>IFERROR(__xludf.DUMMYFUNCTION("""COMPUTED_VALUE"""),"A19798988")</f>
        <v>A19798988</v>
      </c>
      <c r="O96" s="61" t="str">
        <f>IFERROR(__xludf.DUMMYFUNCTION("""COMPUTED_VALUE"""),"+9647826072824")</f>
        <v>+9647826072824</v>
      </c>
      <c r="P96" s="61"/>
      <c r="Q96" s="61"/>
      <c r="R96" s="61"/>
      <c r="S96" s="61" t="str">
        <f>IFERROR(__xludf.DUMMYFUNCTION("""COMPUTED_VALUE"""),"Passport and Previous Visas.pdf")</f>
        <v>Passport and Previous Visas.pdf</v>
      </c>
      <c r="T96" s="61" t="str">
        <f>IFERROR(__xludf.DUMMYFUNCTION("""COMPUTED_VALUE"""),"Picture.pdf")</f>
        <v>Picture.pdf</v>
      </c>
      <c r="U96" s="61" t="str">
        <f>IFERROR(__xludf.DUMMYFUNCTION("""COMPUTED_VALUE"""),"PhD students")</f>
        <v>PhD students</v>
      </c>
      <c r="V96" s="61" t="str">
        <f>IFERROR(__xludf.DUMMYFUNCTION("""COMPUTED_VALUE"""),"PhD in engineering")</f>
        <v>PhD in engineering</v>
      </c>
      <c r="W96" s="61" t="str">
        <f>IFERROR(__xludf.DUMMYFUNCTION("""COMPUTED_VALUE"""),"Engineering , climate change , heritage conservation")</f>
        <v>Engineering , climate change , heritage conservation</v>
      </c>
      <c r="X96" s="61" t="str">
        <f>IFERROR(__xludf.DUMMYFUNCTION("""COMPUTED_VALUE"""),"Cardiff university")</f>
        <v>Cardiff university</v>
      </c>
      <c r="Y96" s="61" t="str">
        <f>IFERROR(__xludf.DUMMYFUNCTION("""COMPUTED_VALUE"""),"Yes")</f>
        <v>Yes</v>
      </c>
      <c r="Z96" s="61" t="str">
        <f>IFERROR(__xludf.DUMMYFUNCTION("""COMPUTED_VALUE"""),"UK")</f>
        <v>UK</v>
      </c>
      <c r="AA96" s="61" t="str">
        <f>IFERROR(__xludf.DUMMYFUNCTION("""COMPUTED_VALUE"""),"No")</f>
        <v>No</v>
      </c>
      <c r="AB96" s="61"/>
      <c r="AC96" s="61" t="str">
        <f>IFERROR(__xludf.DUMMYFUNCTION("""COMPUTED_VALUE"""),"yes, I am lecturer and researcher")</f>
        <v>yes, I am lecturer and researcher</v>
      </c>
      <c r="AD96" s="61" t="str">
        <f>IFERROR(__xludf.DUMMYFUNCTION("""COMPUTED_VALUE"""),"Tawa organization, Iraqi climate national team")</f>
        <v>Tawa organization, Iraqi climate national team</v>
      </c>
      <c r="AE96" s="61"/>
      <c r="AF96" s="61" t="str">
        <f>IFERROR(__xludf.DUMMYFUNCTION("""COMPUTED_VALUE"""),"climate educator")</f>
        <v>climate educator</v>
      </c>
      <c r="AG96" s="61" t="str">
        <f>IFERROR(__xludf.DUMMYFUNCTION("""COMPUTED_VALUE"""),"10")</f>
        <v>10</v>
      </c>
      <c r="AH96" s="61" t="str">
        <f>IFERROR(__xludf.DUMMYFUNCTION("""COMPUTED_VALUE"""),"Yes")</f>
        <v>Yes</v>
      </c>
      <c r="AI96" s="61" t="str">
        <f>IFERROR(__xludf.DUMMYFUNCTION("""COMPUTED_VALUE"""),"Iraqi ministry of higher education and scientific research")</f>
        <v>Iraqi ministry of higher education and scientific research</v>
      </c>
      <c r="AJ96" s="61" t="str">
        <f>IFERROR(__xludf.DUMMYFUNCTION("""COMPUTED_VALUE"""),"yes")</f>
        <v>yes</v>
      </c>
      <c r="AK96" s="61" t="str">
        <f>IFERROR(__xludf.DUMMYFUNCTION("""COMPUTED_VALUE"""),"Climate literacy")</f>
        <v>Climate literacy</v>
      </c>
      <c r="AL96" s="61" t="str">
        <f>IFERROR(__xludf.DUMMYFUNCTION("""COMPUTED_VALUE"""),"engineering, leadership, negotiation, education")</f>
        <v>engineering, leadership, negotiation, education</v>
      </c>
      <c r="AM96" s="61" t="str">
        <f>IFERROR(__xludf.DUMMYFUNCTION("""COMPUTED_VALUE"""),"Sundus_Shukur_CV.pdf")</f>
        <v>Sundus_Shukur_CV.pdf</v>
      </c>
      <c r="AN96" s="61" t="str">
        <f>IFERROR(__xludf.DUMMYFUNCTION("""COMPUTED_VALUE"""),"Yes.  I was a Project Manager for the ICRC, where I managed to gain access to conflict-affected communities in nine governorates of Iraq and delivered water and sanitation infrastructure in places where humanitarian actors had been denied access. I have n"&amp;"egotiated with armed groups, undergone security checks, gained the confidence of local authorities – all of which resulted in new education for more than 400 girls in Jarf al-Sakar and water systems for 50,000 displaced persons. My winning entry in the 20"&amp;"22 ICRC Innovation Competition for a wastewater reuse system demonstrated that we can scale solutions designed with vulnerable communities globally. I didn’t wait for systemic change, I created the conditions for it through direct engagement and relations"&amp;"hip building in contexts where diplomacy is survival.")</f>
        <v>Yes.  I was a Project Manager for the ICRC, where I managed to gain access to conflict-affected communities in nine governorates of Iraq and delivered water and sanitation infrastructure in places where humanitarian actors had been denied access. I have negotiated with armed groups, undergone security checks, gained the confidence of local authorities – all of which resulted in new education for more than 400 girls in Jarf al-Sakar and water systems for 50,000 displaced persons. My winning entry in the 2022 ICRC Innovation Competition for a wastewater reuse system demonstrated that we can scale solutions designed with vulnerable communities globally. I didn’t wait for systemic change, I created the conditions for it through direct engagement and relationship building in contexts where diplomacy is survival.</v>
      </c>
      <c r="AO96" s="61" t="str">
        <f>IFERROR(__xludf.DUMMYFUNCTION("""COMPUTED_VALUE"""),"The very reason why Iraq is of diplomatic importance is that it is underestimated. Iraq is caught between regional powers and is strategically important in terms of water governance, energy security and the preservation of cultural heritage. But its poten"&amp;"tial is limited by institutional fragmentation and legacy of conflict. I have negotiated humanitarian access across Iraq’s governorates knowing that its diplomatic voice based on heritage stewardship, water innovation and youth-led climate action is still"&amp;" nascent at international tables. I am working through the Ishtar Project with Nottingham Trent University to establish Iraqi expertise in heritage conservation as a global model for post-conflict reconstruction. The diplomatic value of Iraq is to be able"&amp;" to turn suffering into solutions.")</f>
        <v>The very reason why Iraq is of diplomatic importance is that it is underestimated. Iraq is caught between regional powers and is strategically important in terms of water governance, energy security and the preservation of cultural heritage. But its potential is limited by institutional fragmentation and legacy of conflict. I have negotiated humanitarian access across Iraq’s governorates knowing that its diplomatic voice based on heritage stewardship, water innovation and youth-led climate action is still nascent at international tables. I am working through the Ishtar Project with Nottingham Trent University to establish Iraqi expertise in heritage conservation as a global model for post-conflict reconstruction. The diplomatic value of Iraq is to be able to turn suffering into solutions.</v>
      </c>
      <c r="AP96" s="61" t="str">
        <f>IFERROR(__xludf.DUMMYFUNCTION("""COMPUTED_VALUE"""),"Young people have a special diplomatic advantage. We inherit the consequences of decisions made by previous generations, which makes our accountability and credibility more acute. We work in institutional networks, in digital networks, in ways that formal"&amp;" diplomacy cannot. We can build trust where traditional diplomats can't go – in conflict zones, marginalized communities, heritage sites under threat. We do not aim to duplicate the diplomacy of the state, but rather to lay the relational groundwork upon "&amp;"which lasting agreements are made.
I define public diplomacy as the deliberate effort to foster mutual understanding between peoples through face-to-face contact, cultural exchange, and collaborative problem solving. In my work negotiating humanitarian a"&amp;"ccess in areas of armed conflict, I practiced public diplomacy every day: I heard community concerns, I translated technical solutions into locally meaningful language, I showed that outsiders could keep commitments. When girls went back to school in Jarf"&amp;" al-Sakar, that was public diplomacy — proof that different worlds could cooperate for shared dignity.
As Head of the Erasmus+ Programme Unit, I am helping to build youth-to-youth diplomatic bridges between Iraqi and UK universities. I frame heritage con"&amp;"servation not as a technical discipline, but as a diplomatic practice—a shared commitment to protecting the stories and structures that bind communities together. Youth diplomacy works best when it has a real relationship, clear negotiations, and real imp"&amp;"act. I'm for all three of them.")</f>
        <v>Young people have a special diplomatic advantage. We inherit the consequences of decisions made by previous generations, which makes our accountability and credibility more acute. We work in institutional networks, in digital networks, in ways that formal diplomacy cannot. We can build trust where traditional diplomats can't go – in conflict zones, marginalized communities, heritage sites under threat. We do not aim to duplicate the diplomacy of the state, but rather to lay the relational groundwork upon which lasting agreements are made.
I define public diplomacy as the deliberate effort to foster mutual understanding between peoples through face-to-face contact, cultural exchange, and collaborative problem solving. In my work negotiating humanitarian access in areas of armed conflict, I practiced public diplomacy every day: I heard community concerns, I translated technical solutions into locally meaningful language, I showed that outsiders could keep commitments. When girls went back to school in Jarf al-Sakar, that was public diplomacy — proof that different worlds could cooperate for shared dignity.
As Head of the Erasmus+ Programme Unit, I am helping to build youth-to-youth diplomatic bridges between Iraqi and UK universities. I frame heritage conservation not as a technical discipline, but as a diplomatic practice—a shared commitment to protecting the stories and structures that bind communities together. Youth diplomacy works best when it has a real relationship, clear negotiations, and real impact. I'm for all three of them.</v>
      </c>
      <c r="AQ96" s="61" t="str">
        <f>IFERROR(__xludf.DUMMYFUNCTION("""COMPUTED_VALUE"""),"Passion is not emotion, it is the sustained commitment to a vision in the face of overwhelming structural resistance. I'm passionate about water governance, heritage preservation and gender-responsive climate adaptation not because these topics make me fe"&amp;"el good, but because I've seen the consequences of their absence with my own eyes: girls denied education, communities drinking contaminated water, historic buildings collapsing under climate stress.
My passion turns into action. I negotiated my way into"&amp;" conflict zones when security advisors told me not to. I designed award-winning waste water systems. I’m working on a gender-responsive climate curriculum at my university. I am Chair of the National Climate Change Team. Passion without strategy is sentim"&amp;"ent. Passion with specific goals, sustained through setbacks, and measured by impact is power.
I have not yet made the sacrifices that will take decades to achieve my goals: to split Iraq’s water management systems, to train engineers about climate liter"&amp;"acy, to raise Iraq’s voice in global governance. Passion is what keeps us committed when progress is slow. It is the power that turns technical skills into transformational leadership.")</f>
        <v>Passion is not emotion, it is the sustained commitment to a vision in the face of overwhelming structural resistance. I'm passionate about water governance, heritage preservation and gender-responsive climate adaptation not because these topics make me feel good, but because I've seen the consequences of their absence with my own eyes: girls denied education, communities drinking contaminated water, historic buildings collapsing under climate stress.
My passion turns into action. I negotiated my way into conflict zones when security advisors told me not to. I designed award-winning waste water systems. I’m working on a gender-responsive climate curriculum at my university. I am Chair of the National Climate Change Team. Passion without strategy is sentiment. Passion with specific goals, sustained through setbacks, and measured by impact is power.
I have not yet made the sacrifices that will take decades to achieve my goals: to split Iraq’s water management systems, to train engineers about climate literacy, to raise Iraq’s voice in global governance. Passion is what keeps us committed when progress is slow. It is the power that turns technical skills into transformational leadership.</v>
      </c>
      <c r="AR96" s="61" t="str">
        <f>IFERROR(__xludf.DUMMYFUNCTION("""COMPUTED_VALUE"""),"I am creative out of necessity, not temperament. Working in conflict zones with limited budgets and security constraints forced me to be creative. My wastewater reuse system, which won the ICRC Innovation Competition, was creative not because it was aesth"&amp;"etically novel but because it solved a genuine problem (water scarcity + sanitation + energy access) in a context where conventional infrastructure could not survive. Creativity in conflict is changing constraints into possibilities.
I use this principle"&amp;" as a public diplomacy strategy in a systematic way. The Ishtar Project, a UK-Iraq partnership on climate-impacted heritage buildings, was not conceived as an academic exercise but as a platform for dialogue. Pakistani and UK researchers working with Iraq"&amp;"i heritage teams in conflict-affected cities become implicit diplomacy: it shows that expertise crosses borders, that heritage belongs to all of humanity, and that collaboration can survive conflict.
I am currently developing a framework for “heritage dip"&amp;"lomacy,"" using conservation projects as a point of entry for dialogue in fragmented communities. When young people from different places collaborate to restore a historic mosque or document disappearing architectural traditions, they learn negotiation, c"&amp;"ultural respect, and collaborative problem-solving. When words fail, heritage is the diplomatic language.
I am also producing content, social media, academic papers, and policy briefs that reframe Iraqi innovation as a global contribution. This is Creativ"&amp;"e Public Diplomacy: Exploiting what is available to change the perception of expertise abroad in Iraq. Creative diplomacy is the art of finding the unconventional road to understanding.")</f>
        <v>I am creative out of necessity, not temperament. Working in conflict zones with limited budgets and security constraints forced me to be creative. My wastewater reuse system, which won the ICRC Innovation Competition, was creative not because it was aesthetically novel but because it solved a genuine problem (water scarcity + sanitation + energy access) in a context where conventional infrastructure could not survive. Creativity in conflict is changing constraints into possibilities.
I use this principle as a public diplomacy strategy in a systematic way. The Ishtar Project, a UK-Iraq partnership on climate-impacted heritage buildings, was not conceived as an academic exercise but as a platform for dialogue. Pakistani and UK researchers working with Iraqi heritage teams in conflict-affected cities become implicit diplomacy: it shows that expertise crosses borders, that heritage belongs to all of humanity, and that collaboration can survive conflict.
I am currently developing a framework for “heritage diplomacy," using conservation projects as a point of entry for dialogue in fragmented communities. When young people from different places collaborate to restore a historic mosque or document disappearing architectural traditions, they learn negotiation, cultural respect, and collaborative problem-solving. When words fail, heritage is the diplomatic language.
I am also producing content, social media, academic papers, and policy briefs that reframe Iraqi innovation as a global contribution. This is Creative Public Diplomacy: Exploiting what is available to change the perception of expertise abroad in Iraq. Creative diplomacy is the art of finding the unconventional road to understanding.</v>
      </c>
      <c r="AS96" s="61" t="str">
        <f>IFERROR(__xludf.DUMMYFUNCTION("""COMPUTED_VALUE"""),"Yes")</f>
        <v>Yes</v>
      </c>
      <c r="AT96" s="61" t="str">
        <f>IFERROR(__xludf.DUMMYFUNCTION("""COMPUTED_VALUE"""),"Yes")</f>
        <v>Yes</v>
      </c>
      <c r="AU96" s="61" t="str">
        <f>IFERROR(__xludf.DUMMYFUNCTION("""COMPUTED_VALUE"""),"Global Politics, Diplomacy &amp; Identities")</f>
        <v>Global Politics, Diplomacy &amp; Identities</v>
      </c>
      <c r="AV96" s="61" t="str">
        <f>IFERROR(__xludf.DUMMYFUNCTION("""COMPUTED_VALUE"""),"Linkdin")</f>
        <v>Linkdin</v>
      </c>
      <c r="AW96" s="61" t="str">
        <f>IFERROR(__xludf.DUMMYFUNCTION("""COMPUTED_VALUE"""),"I am particularly interested in modules that address how cultural heritage and conservation can be used as diplomatic platforms in post-conflict environments. My work with the Ishtar Project exemplifies how heritage stewardship creates a space for dialogu"&amp;"e when formal diplomacy is stymied. I would also select modules on youth leadership in international governance and strategic communication in multi-stakeholder environments, as they directly support my vision of positioning Iraq’s expertise in climate ad"&amp;"aptation and heritage preservation as a global contribution.")</f>
        <v>I am particularly interested in modules that address how cultural heritage and conservation can be used as diplomatic platforms in post-conflict environments. My work with the Ishtar Project exemplifies how heritage stewardship creates a space for dialogue when formal diplomacy is stymied. I would also select modules on youth leadership in international governance and strategic communication in multi-stakeholder environments, as they directly support my vision of positioning Iraq’s expertise in climate adaptation and heritage preservation as a global contribution.</v>
      </c>
      <c r="AX96" s="66" t="str">
        <f>IFERROR(__xludf.DUMMYFUNCTION("""COMPUTED_VALUE"""),"Yes")</f>
        <v>Yes</v>
      </c>
      <c r="AY96" s="66">
        <f>IFERROR(__xludf.DUMMYFUNCTION("""COMPUTED_VALUE"""),15.99)</f>
        <v>15.99</v>
      </c>
      <c r="AZ96" s="61"/>
      <c r="BA96" s="61"/>
      <c r="BB96" s="61"/>
      <c r="BC96" s="61"/>
      <c r="BD96" s="61"/>
      <c r="BE96" s="61"/>
      <c r="BF96" s="61"/>
      <c r="BG96" s="61"/>
      <c r="BH96" s="61"/>
      <c r="BI96" s="61"/>
      <c r="BJ96" s="61"/>
      <c r="BK96" s="61"/>
      <c r="BL96" s="61"/>
      <c r="BM96" s="61"/>
      <c r="BN96" s="61"/>
      <c r="BO96" s="61"/>
      <c r="BP96" s="61"/>
      <c r="BQ96" s="61"/>
      <c r="BR96" s="61"/>
    </row>
    <row r="97" ht="15.75" customHeight="1">
      <c r="A97" s="61" t="str">
        <f>IFERROR(__xludf.DUMMYFUNCTION("""COMPUTED_VALUE"""),"Self")</f>
        <v>Self</v>
      </c>
      <c r="B97" s="62">
        <f>IFERROR(__xludf.DUMMYFUNCTION("""COMPUTED_VALUE"""),118.0)</f>
        <v>118</v>
      </c>
      <c r="C97" s="61" t="str">
        <f>IFERROR(__xludf.DUMMYFUNCTION("""COMPUTED_VALUE"""),"Self")</f>
        <v>Self</v>
      </c>
      <c r="D97" s="63" t="str">
        <f>IFERROR(__xludf.DUMMYFUNCTION("""COMPUTED_VALUE"""),"Submitted")</f>
        <v>Submitted</v>
      </c>
      <c r="E97" s="63">
        <f>IFERROR(__xludf.DUMMYFUNCTION("""COMPUTED_VALUE"""),46208.16180555556)</f>
        <v>46208.16181</v>
      </c>
      <c r="F97" s="61" t="str">
        <f>IFERROR(__xludf.DUMMYFUNCTION("""COMPUTED_VALUE"""),"MAHMOUD AYYASH")</f>
        <v>MAHMOUD AYYASH</v>
      </c>
      <c r="G97" s="61" t="str">
        <f>IFERROR(__xludf.DUMMYFUNCTION("""COMPUTED_VALUE"""),"MAHMOUD M M AYYASH")</f>
        <v>MAHMOUD M M AYYASH</v>
      </c>
      <c r="H97" s="61" t="str">
        <f>IFERROR(__xludf.DUMMYFUNCTION("""COMPUTED_VALUE"""),"abomoin32@gmail.com")</f>
        <v>abomoin32@gmail.com</v>
      </c>
      <c r="I97" s="61" t="str">
        <f>IFERROR(__xludf.DUMMYFUNCTION("""COMPUTED_VALUE"""),"abomoin32@gmail.com")</f>
        <v>abomoin32@gmail.com</v>
      </c>
      <c r="J97" s="61" t="str">
        <f>IFERROR(__xludf.DUMMYFUNCTION("""COMPUTED_VALUE"""),"İstanbul, İstanbul, İstanbul, Türkiye")</f>
        <v>İstanbul, İstanbul, İstanbul, Türkiye</v>
      </c>
      <c r="K97" s="61" t="str">
        <f>IFERROR(__xludf.DUMMYFUNCTION("""COMPUTED_VALUE"""),"Palestinian")</f>
        <v>Palestinian</v>
      </c>
      <c r="L97" s="64" t="str">
        <f>IFERROR(__xludf.DUMMYFUNCTION("""COMPUTED_VALUE"""),"+905359880383")</f>
        <v>+905359880383</v>
      </c>
      <c r="M97" s="64">
        <f>IFERROR(__xludf.DUMMYFUNCTION("""COMPUTED_VALUE"""),32051.0)</f>
        <v>32051</v>
      </c>
      <c r="N97" s="61" t="str">
        <f>IFERROR(__xludf.DUMMYFUNCTION("""COMPUTED_VALUE"""),"5801268")</f>
        <v>5801268</v>
      </c>
      <c r="O97" s="61" t="str">
        <f>IFERROR(__xludf.DUMMYFUNCTION("""COMPUTED_VALUE"""),"+972599572305")</f>
        <v>+972599572305</v>
      </c>
      <c r="P97" s="61"/>
      <c r="Q97" s="65" t="str">
        <f>IFERROR(__xludf.DUMMYFUNCTION("""COMPUTED_VALUE"""),"https://www.instagram.com/mahmoud._.ayyash?igsh=aHIweHM2bDdrdWli")</f>
        <v>https://www.instagram.com/mahmoud._.ayyash?igsh=aHIweHM2bDdrdWli</v>
      </c>
      <c r="R97" s="61"/>
      <c r="S97" s="61" t="str">
        <f>IFERROR(__xludf.DUMMYFUNCTION("""COMPUTED_VALUE"""),"IMG20240510214641.jpg")</f>
        <v>IMG20240510214641.jpg</v>
      </c>
      <c r="T97" s="61" t="str">
        <f>IFERROR(__xludf.DUMMYFUNCTION("""COMPUTED_VALUE"""),"146542 m.jpg")</f>
        <v>146542 m.jpg</v>
      </c>
      <c r="U97" s="61" t="str">
        <f>IFERROR(__xludf.DUMMYFUNCTION("""COMPUTED_VALUE"""),"Bachelor")</f>
        <v>Bachelor</v>
      </c>
      <c r="V97" s="61" t="str">
        <f>IFERROR(__xludf.DUMMYFUNCTION("""COMPUTED_VALUE"""),"Very good")</f>
        <v>Very good</v>
      </c>
      <c r="W97" s="61" t="str">
        <f>IFERROR(__xludf.DUMMYFUNCTION("""COMPUTED_VALUE"""),"Business administration.")</f>
        <v>Business administration.</v>
      </c>
      <c r="X97" s="61" t="str">
        <f>IFERROR(__xludf.DUMMYFUNCTION("""COMPUTED_VALUE"""),"Al-Ummah University for Open Education")</f>
        <v>Al-Ummah University for Open Education</v>
      </c>
      <c r="Y97" s="61" t="str">
        <f>IFERROR(__xludf.DUMMYFUNCTION("""COMPUTED_VALUE"""),"Yes")</f>
        <v>Yes</v>
      </c>
      <c r="Z97" s="61" t="str">
        <f>IFERROR(__xludf.DUMMYFUNCTION("""COMPUTED_VALUE"""),"Palestine")</f>
        <v>Palestine</v>
      </c>
      <c r="AA97" s="61" t="str">
        <f>IFERROR(__xludf.DUMMYFUNCTION("""COMPUTED_VALUE"""),"No")</f>
        <v>No</v>
      </c>
      <c r="AB97" s="61"/>
      <c r="AC97" s="61"/>
      <c r="AD97" s="61" t="str">
        <f>IFERROR(__xludf.DUMMYFUNCTION("""COMPUTED_VALUE"""),"Youth programs")</f>
        <v>Youth programs</v>
      </c>
      <c r="AE97" s="65" t="str">
        <f>IFERROR(__xludf.DUMMYFUNCTION("""COMPUTED_VALUE"""),"https://www.facebook.com/share/196xRnNyQ4/")</f>
        <v>https://www.facebook.com/share/196xRnNyQ4/</v>
      </c>
      <c r="AF97" s="61" t="str">
        <f>IFERROR(__xludf.DUMMYFUNCTION("""COMPUTED_VALUE"""),"trainee")</f>
        <v>trainee</v>
      </c>
      <c r="AG97" s="61" t="str">
        <f>IFERROR(__xludf.DUMMYFUNCTION("""COMPUTED_VALUE"""),"7")</f>
        <v>7</v>
      </c>
      <c r="AH97" s="61" t="str">
        <f>IFERROR(__xludf.DUMMYFUNCTION("""COMPUTED_VALUE"""),"No")</f>
        <v>No</v>
      </c>
      <c r="AI97" s="61" t="str">
        <f>IFERROR(__xludf.DUMMYFUNCTION("""COMPUTED_VALUE"""),"0")</f>
        <v>0</v>
      </c>
      <c r="AJ97" s="61" t="str">
        <f>IFERROR(__xludf.DUMMYFUNCTION("""COMPUTED_VALUE"""),"No")</f>
        <v>No</v>
      </c>
      <c r="AK97" s="61" t="str">
        <f>IFERROR(__xludf.DUMMYFUNCTION("""COMPUTED_VALUE"""),"0")</f>
        <v>0</v>
      </c>
      <c r="AL97" s="61" t="str">
        <f>IFERROR(__xludf.DUMMYFUNCTION("""COMPUTED_VALUE"""),"administrative,")</f>
        <v>administrative,</v>
      </c>
      <c r="AM97" s="61" t="str">
        <f>IFERROR(__xludf.DUMMYFUNCTION("""COMPUTED_VALUE"""),"Mahmoud_Ayyash_CV_English.pdf")</f>
        <v>Mahmoud_Ayyash_CV_English.pdf</v>
      </c>
      <c r="AN97" s="61" t="str">
        <f>IFERROR(__xludf.DUMMYFUNCTION("""COMPUTED_VALUE"""),"I believe that changing the world begins with serving the people around us. That is why I worked in the field of external relations to build partnerships and strengthen cooperation that benefits communities. I have also participated in community and human"&amp;"itarian initiatives and helped organize various activities and events. I continuously strive to develop my skills and gain new experience so I can make a greater positive impact. I believe that real change starts with small actions, and that teamwork, coo"&amp;"peration, and a genuine commitment to helping others are the foundation for creating lasting and meaningful change.")</f>
        <v>I believe that changing the world begins with serving the people around us. That is why I worked in the field of external relations to build partnerships and strengthen cooperation that benefits communities. I have also participated in community and humanitarian initiatives and helped organize various activities and events. I continuously strive to develop my skills and gain new experience so I can make a greater positive impact. I believe that real change starts with small actions, and that teamwork, cooperation, and a genuine commitment to helping others are the foundation for creating lasting and meaningful change.</v>
      </c>
      <c r="AO97" s="61" t="str">
        <f>IFERROR(__xludf.DUMMYFUNCTION("""COMPUTED_VALUE"""),"Türkiye")</f>
        <v>Türkiye</v>
      </c>
      <c r="AP97" s="61" t="str">
        <f>IFERROR(__xludf.DUMMYFUNCTION("""COMPUTED_VALUE"""),"Young people play an important role in diplomacy by building relationships, promoting dialogue, and representing their communities in international forums. This is closely linked to public diplomacy, which focuses on engaging with people, building trust, "&amp;"and fostering mutual understanding beyond official government relations.")</f>
        <v>Young people play an important role in diplomacy by building relationships, promoting dialogue, and representing their communities in international forums. This is closely linked to public diplomacy, which focuses on engaging with people, building trust, and fostering mutual understanding beyond official government relations.</v>
      </c>
      <c r="AQ97" s="61" t="str">
        <f>IFERROR(__xludf.DUMMYFUNCTION("""COMPUTED_VALUE"""),"Passion is the inner motivation that inspires a person to keep learning, growing, and making a positive impact. It helps me stay committed to my goals, overcome challenges, and continue working with determination to serve my community and contribute to me"&amp;"aningful change.")</f>
        <v>Passion is the inner motivation that inspires a person to keep learning, growing, and making a positive impact. It helps me stay committed to my goals, overcome challenges, and continue working with determination to serve my community and contribute to meaningful change.</v>
      </c>
      <c r="AR97" s="61" t="str">
        <f>IFERROR(__xludf.DUMMYFUNCTION("""COMPUTED_VALUE"""),"Yes, I believe that creativity is not only about generating new ideas but also about finding innovative solutions to challenges. I can turn this creativity into an effective public diplomacy strategy by using positive communication, building partnerships,"&amp;" leveraging media and digital platforms, promoting dialogue, sharing humanitarian messages, and strengthening trust between communities.")</f>
        <v>Yes, I believe that creativity is not only about generating new ideas but also about finding innovative solutions to challenges. I can turn this creativity into an effective public diplomacy strategy by using positive communication, building partnerships, leveraging media and digital platforms, promoting dialogue, sharing humanitarian messages, and strengthening trust between communities.</v>
      </c>
      <c r="AS97" s="61" t="str">
        <f>IFERROR(__xludf.DUMMYFUNCTION("""COMPUTED_VALUE"""),"Yes")</f>
        <v>Yes</v>
      </c>
      <c r="AT97" s="61" t="str">
        <f>IFERROR(__xludf.DUMMYFUNCTION("""COMPUTED_VALUE"""),"Yes")</f>
        <v>Yes</v>
      </c>
      <c r="AU97" s="61" t="str">
        <f>IFERROR(__xludf.DUMMYFUNCTION("""COMPUTED_VALUE"""),"Global Politics, Diplomacy &amp; Identities")</f>
        <v>Global Politics, Diplomacy &amp; Identities</v>
      </c>
      <c r="AV97" s="61" t="str">
        <f>IFERROR(__xludf.DUMMYFUNCTION("""COMPUTED_VALUE"""),"Through a friend.")</f>
        <v>Through a friend.</v>
      </c>
      <c r="AW97" s="61" t="str">
        <f>IFERROR(__xludf.DUMMYFUNCTION("""COMPUTED_VALUE"""),"الدبلوماسية العامة والعلاقات الدولية")</f>
        <v>الدبلوماسية العامة والعلاقات الدولية</v>
      </c>
      <c r="AX97" s="66" t="str">
        <f>IFERROR(__xludf.DUMMYFUNCTION("""COMPUTED_VALUE"""),"Yes")</f>
        <v>Yes</v>
      </c>
      <c r="AY97" s="66">
        <f>IFERROR(__xludf.DUMMYFUNCTION("""COMPUTED_VALUE"""),15.99)</f>
        <v>15.99</v>
      </c>
      <c r="AZ97" s="61"/>
      <c r="BA97" s="61"/>
      <c r="BB97" s="61"/>
      <c r="BC97" s="61"/>
      <c r="BD97" s="61"/>
      <c r="BE97" s="61"/>
      <c r="BF97" s="61"/>
      <c r="BG97" s="61"/>
      <c r="BH97" s="61"/>
      <c r="BI97" s="61"/>
      <c r="BJ97" s="61"/>
      <c r="BK97" s="61"/>
      <c r="BL97" s="61"/>
      <c r="BM97" s="61"/>
      <c r="BN97" s="61"/>
      <c r="BO97" s="61"/>
      <c r="BP97" s="61"/>
      <c r="BQ97" s="61"/>
      <c r="BR97" s="61"/>
    </row>
    <row r="98" ht="15.75" customHeight="1">
      <c r="A98" s="61" t="str">
        <f>IFERROR(__xludf.DUMMYFUNCTION("""COMPUTED_VALUE"""),"Full")</f>
        <v>Full</v>
      </c>
      <c r="B98" s="62">
        <f>IFERROR(__xludf.DUMMYFUNCTION("""COMPUTED_VALUE"""),119.0)</f>
        <v>119</v>
      </c>
      <c r="C98" s="61" t="str">
        <f>IFERROR(__xludf.DUMMYFUNCTION("""COMPUTED_VALUE"""),"Partial")</f>
        <v>Partial</v>
      </c>
      <c r="D98" s="63" t="str">
        <f>IFERROR(__xludf.DUMMYFUNCTION("""COMPUTED_VALUE"""),"Submitted")</f>
        <v>Submitted</v>
      </c>
      <c r="E98" s="63">
        <f>IFERROR(__xludf.DUMMYFUNCTION("""COMPUTED_VALUE"""),46208.55972222222)</f>
        <v>46208.55972</v>
      </c>
      <c r="F98" s="61" t="str">
        <f>IFERROR(__xludf.DUMMYFUNCTION("""COMPUTED_VALUE"""),"Chadha Errahmane BOUSSAHIA")</f>
        <v>Chadha Errahmane BOUSSAHIA</v>
      </c>
      <c r="G98" s="61" t="str">
        <f>IFERROR(__xludf.DUMMYFUNCTION("""COMPUTED_VALUE"""),"BOUSSAHIA Chadha Errahmane")</f>
        <v>BOUSSAHIA Chadha Errahmane</v>
      </c>
      <c r="H98" s="61" t="str">
        <f>IFERROR(__xludf.DUMMYFUNCTION("""COMPUTED_VALUE"""),"boussahiachadhaerrahmane@gmail.com")</f>
        <v>boussahiachadhaerrahmane@gmail.com</v>
      </c>
      <c r="I98" s="61" t="str">
        <f>IFERROR(__xludf.DUMMYFUNCTION("""COMPUTED_VALUE"""),"boussahiachacha12@gmail.com")</f>
        <v>boussahiachacha12@gmail.com</v>
      </c>
      <c r="J98" s="61" t="str">
        <f>IFERROR(__xludf.DUMMYFUNCTION("""COMPUTED_VALUE"""),"LOT CHIKH LARABI TEBESSI TEBESSA, TEBESSA, Algeria")</f>
        <v>LOT CHIKH LARABI TEBESSI TEBESSA, TEBESSA, Algeria</v>
      </c>
      <c r="K98" s="61" t="str">
        <f>IFERROR(__xludf.DUMMYFUNCTION("""COMPUTED_VALUE"""),"ALGERIAN")</f>
        <v>ALGERIAN</v>
      </c>
      <c r="L98" s="64" t="str">
        <f>IFERROR(__xludf.DUMMYFUNCTION("""COMPUTED_VALUE"""),"+213563480665")</f>
        <v>+213563480665</v>
      </c>
      <c r="M98" s="64">
        <f>IFERROR(__xludf.DUMMYFUNCTION("""COMPUTED_VALUE"""),37947.0)</f>
        <v>37947</v>
      </c>
      <c r="N98" s="61" t="str">
        <f>IFERROR(__xludf.DUMMYFUNCTION("""COMPUTED_VALUE"""),"308034336")</f>
        <v>308034336</v>
      </c>
      <c r="O98" s="61" t="str">
        <f>IFERROR(__xludf.DUMMYFUNCTION("""COMPUTED_VALUE"""),"0563487743")</f>
        <v>0563487743</v>
      </c>
      <c r="P98" s="65" t="str">
        <f>IFERROR(__xludf.DUMMYFUNCTION("""COMPUTED_VALUE"""),"https://www.linkedin.com/in/chadha-errahmane-boussahia/")</f>
        <v>https://www.linkedin.com/in/chadha-errahmane-boussahia/</v>
      </c>
      <c r="Q98" s="65" t="str">
        <f>IFERROR(__xludf.DUMMYFUNCTION("""COMPUTED_VALUE"""),"https://www.instagram.com/chadha_space/")</f>
        <v>https://www.instagram.com/chadha_space/</v>
      </c>
      <c r="R98" s="61" t="str">
        <f>IFERROR(__xludf.DUMMYFUNCTION("""COMPUTED_VALUE"""),"/")</f>
        <v>/</v>
      </c>
      <c r="S98" s="61" t="str">
        <f>IFERROR(__xludf.DUMMYFUNCTION("""COMPUTED_VALUE"""),"passport.pdf")</f>
        <v>passport.pdf</v>
      </c>
      <c r="T98" s="61" t="str">
        <f>IFERROR(__xludf.DUMMYFUNCTION("""COMPUTED_VALUE"""),"my pic.png")</f>
        <v>my pic.png</v>
      </c>
      <c r="U98" s="61" t="str">
        <f>IFERROR(__xludf.DUMMYFUNCTION("""COMPUTED_VALUE"""),"Master's degree")</f>
        <v>Master's degree</v>
      </c>
      <c r="V98" s="61" t="str">
        <f>IFERROR(__xludf.DUMMYFUNCTION("""COMPUTED_VALUE"""),"Master of Science")</f>
        <v>Master of Science</v>
      </c>
      <c r="W98" s="61" t="str">
        <f>IFERROR(__xludf.DUMMYFUNCTION("""COMPUTED_VALUE"""),"MARKETING MANAGMENT")</f>
        <v>MARKETING MANAGMENT</v>
      </c>
      <c r="X98" s="61" t="str">
        <f>IFERROR(__xludf.DUMMYFUNCTION("""COMPUTED_VALUE"""),"EHEC Algiers : l’école des hautes études commerciales")</f>
        <v>EHEC Algiers : l’école des hautes études commerciales</v>
      </c>
      <c r="Y98" s="61" t="str">
        <f>IFERROR(__xludf.DUMMYFUNCTION("""COMPUTED_VALUE"""),"Yes")</f>
        <v>Yes</v>
      </c>
      <c r="Z98" s="61" t="str">
        <f>IFERROR(__xludf.DUMMYFUNCTION("""COMPUTED_VALUE"""),"ALGERIA")</f>
        <v>ALGERIA</v>
      </c>
      <c r="AA98" s="61" t="str">
        <f>IFERROR(__xludf.DUMMYFUNCTION("""COMPUTED_VALUE"""),"Yes")</f>
        <v>Yes</v>
      </c>
      <c r="AB98" s="61" t="str">
        <f>IFERROR(__xludf.DUMMYFUNCTION("""COMPUTED_VALUE"""),"The Smart2Gather hackathon with essec Tunisia")</f>
        <v>The Smart2Gather hackathon with essec Tunisia</v>
      </c>
      <c r="AC98" s="61" t="str">
        <f>IFERROR(__xludf.DUMMYFUNCTION("""COMPUTED_VALUE"""),"YES")</f>
        <v>YES</v>
      </c>
      <c r="AD98" s="61" t="str">
        <f>IFERROR(__xludf.DUMMYFUNCTION("""COMPUTED_VALUE"""),"aiesec")</f>
        <v>aiesec</v>
      </c>
      <c r="AE98" s="65" t="str">
        <f>IFERROR(__xludf.DUMMYFUNCTION("""COMPUTED_VALUE"""),"https://www.aiesec.dz/")</f>
        <v>https://www.aiesec.dz/</v>
      </c>
      <c r="AF98" s="61" t="str">
        <f>IFERROR(__xludf.DUMMYFUNCTION("""COMPUTED_VALUE"""),"Marketing &amp; Communications Volunteer")</f>
        <v>Marketing &amp; Communications Volunteer</v>
      </c>
      <c r="AG98" s="61" t="str">
        <f>IFERROR(__xludf.DUMMYFUNCTION("""COMPUTED_VALUE"""),"1ans 1mois")</f>
        <v>1ans 1mois</v>
      </c>
      <c r="AH98" s="61" t="str">
        <f>IFERROR(__xludf.DUMMYFUNCTION("""COMPUTED_VALUE"""),"No")</f>
        <v>No</v>
      </c>
      <c r="AI98" s="61" t="str">
        <f>IFERROR(__xludf.DUMMYFUNCTION("""COMPUTED_VALUE"""),"/")</f>
        <v>/</v>
      </c>
      <c r="AJ98" s="61" t="str">
        <f>IFERROR(__xludf.DUMMYFUNCTION("""COMPUTED_VALUE"""),"/")</f>
        <v>/</v>
      </c>
      <c r="AK98" s="61" t="str">
        <f>IFERROR(__xludf.DUMMYFUNCTION("""COMPUTED_VALUE"""),"/")</f>
        <v>/</v>
      </c>
      <c r="AL98" s="61" t="str">
        <f>IFERROR(__xludf.DUMMYFUNCTION("""COMPUTED_VALUE"""),"Leadership and team collaboration, strategic marketing, public speaking, radio presenting and interviewing, storytelling and writing, cross-cultural communication, multilingual communication (Arabic, English, French, Spanish, and Turkish), entrepreneurshi"&amp;"p and startup development, project and event management, branding, digital marketing, content creation, stakeholder engagement, community building, business development, research and analytical thinking, negotiation, presentation and facilitation, adaptab"&amp;"ility, creativity, and problem-solving. I am particularly passionate about using communication, innovation, and entrepreneurship to connect people, inspire collaboration, and create meaningful social impact.")</f>
        <v>Leadership and team collaboration, strategic marketing, public speaking, radio presenting and interviewing, storytelling and writing, cross-cultural communication, multilingual communication (Arabic, English, French, Spanish, and Turkish), entrepreneurship and startup development, project and event management, branding, digital marketing, content creation, stakeholder engagement, community building, business development, research and analytical thinking, negotiation, presentation and facilitation, adaptability, creativity, and problem-solving. I am particularly passionate about using communication, innovation, and entrepreneurship to connect people, inspire collaboration, and create meaningful social impact.</v>
      </c>
      <c r="AM98" s="61" t="str">
        <f>IFERROR(__xludf.DUMMYFUNCTION("""COMPUTED_VALUE"""),"boussahiachadhaerrahmane.pdf")</f>
        <v>boussahiachadhaerrahmane.pdf</v>
      </c>
      <c r="AN98" s="61" t="str">
        <f>IFERROR(__xludf.DUMMYFUNCTION("""COMPUTED_VALUE"""),"For me, changing the world has never been about changing everyone else first; it begins with changing ourselves. I often think of the safety instructions on an airplane: when the oxygen masks fall, you're told to put on your own mask before helping others"&amp;". That simple idea has become my philosophy in life. Every day, I strive to grow into a better person so I can create a greater impact on the people around me. This mindset inspired me, during my final year at university, to develop a startup project that"&amp;" aims to make daily commuting more efficient, accessible, and dignified. I hope to grow this initiative beyond a graduation project and contribute meaningful solutions to my country and, one day, to the world.")</f>
        <v>For me, changing the world has never been about changing everyone else first; it begins with changing ourselves. I often think of the safety instructions on an airplane: when the oxygen masks fall, you're told to put on your own mask before helping others. That simple idea has become my philosophy in life. Every day, I strive to grow into a better person so I can create a greater impact on the people around me. This mindset inspired me, during my final year at university, to develop a startup project that aims to make daily commuting more efficient, accessible, and dignified. I hope to grow this initiative beyond a graduation project and contribute meaningful solutions to my country and, one day, to the world.</v>
      </c>
      <c r="AO98" s="61" t="str">
        <f>IFERROR(__xludf.DUMMYFUNCTION("""COMPUTED_VALUE"""),"I believe Rwanda is one of the most diplomatically significant countries today not because of its size or economic power, but because of what it represents. After experiencing one of the darkest chapters in modern history, Rwanda chose reconciliation, ins"&amp;"titution-building, and regional cooperation over continued division. Its journey reminds us that diplomacy IS NOT only about preventing conflict ! it is also about rebuilding trust, restoring hope, and creating opportunities for future generations. To me,"&amp;" Rwanda proves that a nation's greatest influence comes not from its power, but from its resilience and its commitment to peace, dialogue, and shared progress.")</f>
        <v>I believe Rwanda is one of the most diplomatically significant countries today not because of its size or economic power, but because of what it represents. After experiencing one of the darkest chapters in modern history, Rwanda chose reconciliation, institution-building, and regional cooperation over continued division. Its journey reminds us that diplomacy IS NOT only about preventing conflict ! it is also about rebuilding trust, restoring hope, and creating opportunities for future generations. To me, Rwanda proves that a nation's greatest influence comes not from its power, but from its resilience and its commitment to peace, dialogue, and shared progress.</v>
      </c>
      <c r="AP98" s="61" t="str">
        <f>IFERROR(__xludf.DUMMYFUNCTION("""COMPUTED_VALUE"""),"I beleive that the most powerful diplomats are not always those sitting at negotiation tables. Sometimes they are the people who make others curious instead of fearful.I have always believed that diplomacy begins long before presidents shake hands or agre"&amp;"ements are signed. It begins the moment two people choose curiosity over judgment. Every stereotype disappears when we genuinely try to understand another person's story, and I believe young people are the generation most capable of making that choice.
M"&amp;"y role, as I see it, is not simply to represent where I come from, but to become a bridge between people who might never have met otherwise. Every experience I have pursued whether speaking on the radio, interviewing guests, volunteering, organizing event"&amp;"s, or developing a startup that aims to improve everyday mobility has been driven by the same question: 
How can we understand one another better?
To me, public diplomacy is not confined to governments or official meetings. It happens every time a young "&amp;"person listens with empathy, challenges prejudice, and creates genuine dialogue across cultures.
Perhaps that is why I chose to learn five languages. Not to collect certificates or impress others, but because I believe every new language is an invitation"&amp;" to see the world through someone else's eyes. And I believe that understanding people in their own language is one of the most powerful forms of diplomacy.")</f>
        <v>I beleive that the most powerful diplomats are not always those sitting at negotiation tables. Sometimes they are the people who make others curious instead of fearful.I have always believed that diplomacy begins long before presidents shake hands or agreements are signed. It begins the moment two people choose curiosity over judgment. Every stereotype disappears when we genuinely try to understand another person's story, and I believe young people are the generation most capable of making that choice.
My role, as I see it, is not simply to represent where I come from, but to become a bridge between people who might never have met otherwise. Every experience I have pursued whether speaking on the radio, interviewing guests, volunteering, organizing events, or developing a startup that aims to improve everyday mobility has been driven by the same question: 
How can we understand one another better?
To me, public diplomacy is not confined to governments or official meetings. It happens every time a young person listens with empathy, challenges prejudice, and creates genuine dialogue across cultures.
Perhaps that is why I chose to learn five languages. Not to collect certificates or impress others, but because I believe every new language is an invitation to see the world through someone else's eyes. And I believe that understanding people in their own language is one of the most powerful forms of diplomacy.</v>
      </c>
      <c r="AQ98" s="61" t="str">
        <f>IFERROR(__xludf.DUMMYFUNCTION("""COMPUTED_VALUE"""),"I once came across the Japanese concept of ( Ikigai ) the idea that a meaningful life is found where what you love, what you're good at, what the world needs, and what you can contribute come together. Since then, I have stopped seeing passion as a feelin"&amp;"g and started seeing it as a direction.
That idea has shaped every decision I make. It is why I never limit myself to one field. Whether studying marketing, finance , exploring philosophy, writing, speaking on the radio, learning new languages, or buildi"&amp;"ng a startup to improve daily transportation, I am driven by the same purpose: to keep learning and use what I learn to create meaningful impact.
For me, passion is not the spark that starts the journey it is the quiet force that keeps me moving when the"&amp;" excitement fades. It gives purpose to discipline, resilience to challenges, and meaning to every goal I choose to pursue.")</f>
        <v>I once came across the Japanese concept of ( Ikigai ) the idea that a meaningful life is found where what you love, what you're good at, what the world needs, and what you can contribute come together. Since then, I have stopped seeing passion as a feeling and started seeing it as a direction.
That idea has shaped every decision I make. It is why I never limit myself to one field. Whether studying marketing, finance , exploring philosophy, writing, speaking on the radio, learning new languages, or building a startup to improve daily transportation, I am driven by the same purpose: to keep learning and use what I learn to create meaningful impact.
For me, passion is not the spark that starts the journey it is the quiet force that keeps me moving when the excitement fades. It gives purpose to discipline, resilience to challenges, and meaning to every goal I choose to pursue.</v>
      </c>
      <c r="AR98" s="61" t="str">
        <f>IFERROR(__xludf.DUMMYFUNCTION("""COMPUTED_VALUE"""),"The first time I held a microphone, I was four years old. I thought I was simply performing in a children's play. Looking back, I realize I was learning something much bigger: words have the power to bring people together.
That is why I consider myself a"&amp;" creative person. Creativity, to me, is not about creating something that has never existed before. It is about discovering new ways for people to understand one another. I am fascinated by the idea that the same message, when told differently, can replac"&amp;"e fear with curiosity, disagreement with dialogue, and strangers with collaborators.
If I had to transform creativity into a public diplomacy strategy, I would focus on storytelling. Long before people trust policies, they trust people. I would create sp"&amp;"aces where young people from different cultures share their stories, challenges, and dreams not to prove who is right, but to discover how much they already have in common.
Because I believe diplomacy does not begin when countries start talking. It begin"&amp;"s when people start listening. And creativity is what makes them want to.")</f>
        <v>The first time I held a microphone, I was four years old. I thought I was simply performing in a children's play. Looking back, I realize I was learning something much bigger: words have the power to bring people together.
That is why I consider myself a creative person. Creativity, to me, is not about creating something that has never existed before. It is about discovering new ways for people to understand one another. I am fascinated by the idea that the same message, when told differently, can replace fear with curiosity, disagreement with dialogue, and strangers with collaborators.
If I had to transform creativity into a public diplomacy strategy, I would focus on storytelling. Long before people trust policies, they trust people. I would create spaces where young people from different cultures share their stories, challenges, and dreams not to prove who is right, but to discover how much they already have in common.
Because I believe diplomacy does not begin when countries start talking. It begins when people start listening. And creativity is what makes them want to.</v>
      </c>
      <c r="AS98" s="61" t="str">
        <f>IFERROR(__xludf.DUMMYFUNCTION("""COMPUTED_VALUE"""),"Yes")</f>
        <v>Yes</v>
      </c>
      <c r="AT98" s="61" t="str">
        <f>IFERROR(__xludf.DUMMYFUNCTION("""COMPUTED_VALUE"""),"Yes")</f>
        <v>Yes</v>
      </c>
      <c r="AU98" s="61" t="str">
        <f>IFERROR(__xludf.DUMMYFUNCTION("""COMPUTED_VALUE"""),"Global Politics, Diplomacy &amp; Identities")</f>
        <v>Global Politics, Diplomacy &amp; Identities</v>
      </c>
      <c r="AV98" s="61" t="str">
        <f>IFERROR(__xludf.DUMMYFUNCTION("""COMPUTED_VALUE"""),"claud ai")</f>
        <v>claud ai</v>
      </c>
      <c r="AW98" s="61" t="str">
        <f>IFERROR(__xludf.DUMMYFUNCTION("""COMPUTED_VALUE"""),"Youth Innovation &amp; Policy Labs")</f>
        <v>Youth Innovation &amp; Policy Labs</v>
      </c>
      <c r="AX98" s="66" t="str">
        <f>IFERROR(__xludf.DUMMYFUNCTION("""COMPUTED_VALUE"""),"Yes")</f>
        <v>Yes</v>
      </c>
      <c r="AY98" s="66">
        <f>IFERROR(__xludf.DUMMYFUNCTION("""COMPUTED_VALUE"""),15.99)</f>
        <v>15.99</v>
      </c>
      <c r="AZ98" s="61"/>
      <c r="BA98" s="61"/>
      <c r="BB98" s="61"/>
      <c r="BC98" s="61"/>
      <c r="BD98" s="61"/>
      <c r="BE98" s="61"/>
      <c r="BF98" s="61"/>
      <c r="BG98" s="61"/>
      <c r="BH98" s="61"/>
      <c r="BI98" s="61"/>
      <c r="BJ98" s="61"/>
      <c r="BK98" s="61"/>
      <c r="BL98" s="61"/>
      <c r="BM98" s="61"/>
      <c r="BN98" s="61"/>
      <c r="BO98" s="61"/>
      <c r="BP98" s="61"/>
      <c r="BQ98" s="61"/>
      <c r="BR98" s="61"/>
    </row>
    <row r="99" ht="15.75" customHeight="1">
      <c r="A99" s="61" t="str">
        <f>IFERROR(__xludf.DUMMYFUNCTION("""COMPUTED_VALUE"""),"")</f>
        <v/>
      </c>
      <c r="B99" s="62">
        <f>IFERROR(__xludf.DUMMYFUNCTION("""COMPUTED_VALUE"""),120.0)</f>
        <v>120</v>
      </c>
      <c r="C99" s="61" t="str">
        <f>IFERROR(__xludf.DUMMYFUNCTION("""COMPUTED_VALUE"""),"Self")</f>
        <v>Self</v>
      </c>
      <c r="D99" s="63" t="str">
        <f>IFERROR(__xludf.DUMMYFUNCTION("""COMPUTED_VALUE"""),"Submitted")</f>
        <v>Submitted</v>
      </c>
      <c r="E99" s="63">
        <f>IFERROR(__xludf.DUMMYFUNCTION("""COMPUTED_VALUE"""),46208.57569444444)</f>
        <v>46208.57569</v>
      </c>
      <c r="F99" s="61" t="str">
        <f>IFERROR(__xludf.DUMMYFUNCTION("""COMPUTED_VALUE"""),"ibrahim Sehweil")</f>
        <v>ibrahim Sehweil</v>
      </c>
      <c r="G99" s="61" t="str">
        <f>IFERROR(__xludf.DUMMYFUNCTION("""COMPUTED_VALUE"""),"IBRAHIM S. I. SEHWEIL")</f>
        <v>IBRAHIM S. I. SEHWEIL</v>
      </c>
      <c r="H99" s="61" t="str">
        <f>IFERROR(__xludf.DUMMYFUNCTION("""COMPUTED_VALUE"""),"ibrahimsehweil10@gmail.com")</f>
        <v>ibrahimsehweil10@gmail.com</v>
      </c>
      <c r="I99" s="61" t="str">
        <f>IFERROR(__xludf.DUMMYFUNCTION("""COMPUTED_VALUE"""),"SADDAMSEHWEIL@gmail.com")</f>
        <v>SADDAMSEHWEIL@gmail.com</v>
      </c>
      <c r="J99" s="61" t="str">
        <f>IFERROR(__xludf.DUMMYFUNCTION("""COMPUTED_VALUE"""),"Başakşehir, BAŞAKŞEHIR SARIÇAM SK 2B /9GÜNEYCE B BLOK(54) AP - BAŞAKŞEHİR İSTANBUL - BAŞAKŞEHİR, Başakşehir, Türkiye")</f>
        <v>Başakşehir, BAŞAKŞEHIR SARIÇAM SK 2B /9GÜNEYCE B BLOK(54) AP - BAŞAKŞEHİR İSTANBUL - BAŞAKŞEHİR, Başakşehir, Türkiye</v>
      </c>
      <c r="K99" s="61" t="str">
        <f>IFERROR(__xludf.DUMMYFUNCTION("""COMPUTED_VALUE"""),"FİLİSTİN")</f>
        <v>FİLİSTİN</v>
      </c>
      <c r="L99" s="64" t="str">
        <f>IFERROR(__xludf.DUMMYFUNCTION("""COMPUTED_VALUE"""),"+905524636286")</f>
        <v>+905524636286</v>
      </c>
      <c r="M99" s="64">
        <f>IFERROR(__xludf.DUMMYFUNCTION("""COMPUTED_VALUE"""),38896.0)</f>
        <v>38896</v>
      </c>
      <c r="N99" s="61" t="str">
        <f>IFERROR(__xludf.DUMMYFUNCTION("""COMPUTED_VALUE"""),"5680270")</f>
        <v>5680270</v>
      </c>
      <c r="O99" s="61" t="str">
        <f>IFERROR(__xludf.DUMMYFUNCTION("""COMPUTED_VALUE"""),"+90 552 246 48 18")</f>
        <v>+90 552 246 48 18</v>
      </c>
      <c r="P99" s="61"/>
      <c r="Q99" s="61"/>
      <c r="R99" s="61"/>
      <c r="S99" s="61" t="str">
        <f>IFERROR(__xludf.DUMMYFUNCTION("""COMPUTED_VALUE"""),"IMG_0740.jpeg")</f>
        <v>IMG_0740.jpeg</v>
      </c>
      <c r="T99" s="61" t="str">
        <f>IFERROR(__xludf.DUMMYFUNCTION("""COMPUTED_VALUE"""),"IMG_8930.jpeg")</f>
        <v>IMG_8930.jpeg</v>
      </c>
      <c r="U99" s="61" t="str">
        <f>IFERROR(__xludf.DUMMYFUNCTION("""COMPUTED_VALUE"""),"Bachelor’s")</f>
        <v>Bachelor’s</v>
      </c>
      <c r="V99" s="61" t="str">
        <f>IFERROR(__xludf.DUMMYFUNCTION("""COMPUTED_VALUE"""),"Bachelor’s Degree")</f>
        <v>Bachelor’s Degree</v>
      </c>
      <c r="W99" s="61" t="str">
        <f>IFERROR(__xludf.DUMMYFUNCTION("""COMPUTED_VALUE"""),"New Media and Communication")</f>
        <v>New Media and Communication</v>
      </c>
      <c r="X99" s="61" t="str">
        <f>IFERROR(__xludf.DUMMYFUNCTION("""COMPUTED_VALUE"""),"İstanbul Yeni Yüzyıl Üniversitesi")</f>
        <v>İstanbul Yeni Yüzyıl Üniversitesi</v>
      </c>
      <c r="Y99" s="61" t="str">
        <f>IFERROR(__xludf.DUMMYFUNCTION("""COMPUTED_VALUE"""),"Yes")</f>
        <v>Yes</v>
      </c>
      <c r="Z99" s="61"/>
      <c r="AA99" s="61" t="str">
        <f>IFERROR(__xludf.DUMMYFUNCTION("""COMPUTED_VALUE"""),"No")</f>
        <v>No</v>
      </c>
      <c r="AB99" s="61"/>
      <c r="AC99" s="61"/>
      <c r="AD99" s="61" t="str">
        <f>IFERROR(__xludf.DUMMYFUNCTION("""COMPUTED_VALUE"""),"Palestinian Media Foundation (FIMED)")</f>
        <v>Palestinian Media Foundation (FIMED)</v>
      </c>
      <c r="AE99" s="65" t="str">
        <f>IFERROR(__xludf.DUMMYFUNCTION("""COMPUTED_VALUE"""),"https://fimed.tr/ar")</f>
        <v>https://fimed.tr/ar</v>
      </c>
      <c r="AF99" s="61" t="str">
        <f>IFERROR(__xludf.DUMMYFUNCTION("""COMPUTED_VALUE"""),"News Editor and Media Volunteer")</f>
        <v>News Editor and Media Volunteer</v>
      </c>
      <c r="AG99" s="61" t="str">
        <f>IFERROR(__xludf.DUMMYFUNCTION("""COMPUTED_VALUE"""),"1 year")</f>
        <v>1 year</v>
      </c>
      <c r="AH99" s="61" t="str">
        <f>IFERROR(__xludf.DUMMYFUNCTION("""COMPUTED_VALUE"""),"No")</f>
        <v>No</v>
      </c>
      <c r="AI99" s="61"/>
      <c r="AJ99" s="61"/>
      <c r="AK99" s="61"/>
      <c r="AL99" s="61" t="str">
        <f>IFERROR(__xludf.DUMMYFUNCTION("""COMPUTED_VALUE"""),"News Editing, Journalism, Media, Photography, Content Writing, Social Media Management")</f>
        <v>News Editing, Journalism, Media, Photography, Content Writing, Social Media Management</v>
      </c>
      <c r="AM99" s="61" t="str">
        <f>IFERROR(__xludf.DUMMYFUNCTION("""COMPUTED_VALUE"""),"Professional Modern CV Resume.png")</f>
        <v>Professional Modern CV Resume.png</v>
      </c>
      <c r="AN99" s="61" t="str">
        <f>IFERROR(__xludf.DUMMYFUNCTION("""COMPUTED_VALUE"""),"Yes. I have always believed that meaningful change begins with individual responsibility. As a Palestinian from Gaza, I witnessed how important truthful and responsible media can be during times of conflict. This inspired me to volunteer as a News Editor "&amp;"and Media Volunteer at FIMED, where I contributed to editing and publishing news, helping communicate the realities and humanitarian challenges faced by people in Gaza. Through this work, I learned that accurate information can raise awareness, encourage "&amp;"empathy, and give a voice to those whose stories are often unheard. Alongside my studies and professional training, I continue to improve my media skills because I believe ethical journalism and responsible communication can build understanding, promote d"&amp;"ialogue, and create a positive impact in society.")</f>
        <v>Yes. I have always believed that meaningful change begins with individual responsibility. As a Palestinian from Gaza, I witnessed how important truthful and responsible media can be during times of conflict. This inspired me to volunteer as a News Editor and Media Volunteer at FIMED, where I contributed to editing and publishing news, helping communicate the realities and humanitarian challenges faced by people in Gaza. Through this work, I learned that accurate information can raise awareness, encourage empathy, and give a voice to those whose stories are often unheard. Alongside my studies and professional training, I continue to improve my media skills because I believe ethical journalism and responsible communication can build understanding, promote dialogue, and create a positive impact in society.</v>
      </c>
      <c r="AO99" s="61" t="str">
        <f>IFERROR(__xludf.DUMMYFUNCTION("""COMPUTED_VALUE"""),"I believe Türkiye is one of the most diplomatically significant countries in the world. Its unique location between Europe and Asia allows it to connect different cultures, regions, and political interests. Türkiye has often played a mediating role in reg"&amp;"ional and international issues while hosting millions of refugees and supporting humanitarian efforts. As a student living in Türkiye, I have seen how cultural diversity and international cooperation are encouraged. I believe diplomacy is about building d"&amp;"ialogue and mutual understanding, and Türkiye’s active engagement in international affairs makes it an important bridge between nations.")</f>
        <v>I believe Türkiye is one of the most diplomatically significant countries in the world. Its unique location between Europe and Asia allows it to connect different cultures, regions, and political interests. Türkiye has often played a mediating role in regional and international issues while hosting millions of refugees and supporting humanitarian efforts. As a student living in Türkiye, I have seen how cultural diversity and international cooperation are encouraged. I believe diplomacy is about building dialogue and mutual understanding, and Türkiye’s active engagement in international affairs makes it an important bridge between nations.</v>
      </c>
      <c r="AP99" s="61" t="str">
        <f>IFERROR(__xludf.DUMMYFUNCTION("""COMPUTED_VALUE"""),"I believe young people are one of the most important forces in diplomacy today. Through education, media, technology, and cultural exchange, they can build bridges between societies and promote understanding instead of division. Public diplomacy is not li"&amp;"mited to governments; it also includes students, journalists, volunteers, and content creators who influence how people understand each other.
As a New Media and Communication student and a News Editor at FIMED, I see public diplomacy as a responsibility"&amp;". Through my volunteer work, I have contributed to editing and publishing news that highlights humanitarian issues and helps present accurate information about the realities faced by people in Gaza. I believe responsible journalism can encourage dialogue,"&amp;" challenge misinformation, and give a voice to communities that are often overlooked.
In the future, I hope to use my media skills to strengthen international understanding, promote intercultural communication, and support peace through truthful and ethi"&amp;"cal communication. I believe every young person has the ability to create a positive impact, and public diplomacy provides an important platform to achieve that goal.")</f>
        <v>I believe young people are one of the most important forces in diplomacy today. Through education, media, technology, and cultural exchange, they can build bridges between societies and promote understanding instead of division. Public diplomacy is not limited to governments; it also includes students, journalists, volunteers, and content creators who influence how people understand each other.
As a New Media and Communication student and a News Editor at FIMED, I see public diplomacy as a responsibility. Through my volunteer work, I have contributed to editing and publishing news that highlights humanitarian issues and helps present accurate information about the realities faced by people in Gaza. I believe responsible journalism can encourage dialogue, challenge misinformation, and give a voice to communities that are often overlooked.
In the future, I hope to use my media skills to strengthen international understanding, promote intercultural communication, and support peace through truthful and ethical communication. I believe every young person has the ability to create a positive impact, and public diplomacy provides an important platform to achieve that goal.</v>
      </c>
      <c r="AQ99" s="61" t="str">
        <f>IFERROR(__xludf.DUMMYFUNCTION("""COMPUTED_VALUE"""),"Passion is the inner motivation that gives purpose to our efforts and encourages us to keep moving forward despite challenges. For me, passion is the desire to learn, improve, and make a positive impact through media and communication. It has motivated me"&amp;" to study New Media and Communication, volunteer as a News Editor at FIMED, and participate in professional training in photography and social media. Every new experience helps me grow both personally and professionally. My passion reminds me that success"&amp;" is not achieved overnight but through continuous learning, dedication, and hard work. In the future, I hope to use my knowledge and skills to contribute to ethical journalism, public diplomacy, and meaningful communication that promotes understanding bet"&amp;"ween people and supports positive change in society.")</f>
        <v>Passion is the inner motivation that gives purpose to our efforts and encourages us to keep moving forward despite challenges. For me, passion is the desire to learn, improve, and make a positive impact through media and communication. It has motivated me to study New Media and Communication, volunteer as a News Editor at FIMED, and participate in professional training in photography and social media. Every new experience helps me grow both personally and professionally. My passion reminds me that success is not achieved overnight but through continuous learning, dedication, and hard work. In the future, I hope to use my knowledge and skills to contribute to ethical journalism, public diplomacy, and meaningful communication that promotes understanding between people and supports positive change in society.</v>
      </c>
      <c r="AR99" s="61" t="str">
        <f>IFERROR(__xludf.DUMMYFUNCTION("""COMPUTED_VALUE"""),"Yes, I consider myself a creative person. Creativity, to me, is not only about producing new ideas but also about finding meaningful ways to communicate with people. As a New Media and Communication student, I have learned that media can build bridges bet"&amp;"ween cultures when it is used responsibly. Through my volunteer work at FIMED, I have contributed to creating and editing content that highlights humanitarian issues and presents stories in a clear and responsible way.
I believe creativity can become an "&amp;"effective public diplomacy strategy by using storytelling, digital media, photography, and social media to encourage dialogue, increase understanding, and connect people from different backgrounds. Creative content has the power to overcome language and c"&amp;"ultural barriers while promoting empathy and mutual respect.
In the future, I hope to develop media projects that showcase diverse cultures, amplify underrepresented voices, and encourage peaceful communication. I believe that creativity, combined with e"&amp;"thical journalism and responsible communication, can strengthen public diplomacy and contribute to a more informed and connected world.")</f>
        <v>Yes, I consider myself a creative person. Creativity, to me, is not only about producing new ideas but also about finding meaningful ways to communicate with people. As a New Media and Communication student, I have learned that media can build bridges between cultures when it is used responsibly. Through my volunteer work at FIMED, I have contributed to creating and editing content that highlights humanitarian issues and presents stories in a clear and responsible way.
I believe creativity can become an effective public diplomacy strategy by using storytelling, digital media, photography, and social media to encourage dialogue, increase understanding, and connect people from different backgrounds. Creative content has the power to overcome language and cultural barriers while promoting empathy and mutual respect.
In the future, I hope to develop media projects that showcase diverse cultures, amplify underrepresented voices, and encourage peaceful communication. I believe that creativity, combined with ethical journalism and responsible communication, can strengthen public diplomacy and contribute to a more informed and connected world.</v>
      </c>
      <c r="AS99" s="61" t="str">
        <f>IFERROR(__xludf.DUMMYFUNCTION("""COMPUTED_VALUE"""),"Yes")</f>
        <v>Yes</v>
      </c>
      <c r="AT99" s="61" t="str">
        <f>IFERROR(__xludf.DUMMYFUNCTION("""COMPUTED_VALUE"""),"Yes")</f>
        <v>Yes</v>
      </c>
      <c r="AU99" s="61" t="str">
        <f>IFERROR(__xludf.DUMMYFUNCTION("""COMPUTED_VALUE"""),"Philosophy, Media &amp; Diplomacy in International Relations")</f>
        <v>Philosophy, Media &amp; Diplomacy in International Relations</v>
      </c>
      <c r="AV99" s="61" t="str">
        <f>IFERROR(__xludf.DUMMYFUNCTION("""COMPUTED_VALUE"""),"Palestinian Youth Forum")</f>
        <v>Palestinian Youth Forum</v>
      </c>
      <c r="AW99" s="61"/>
      <c r="AX99" s="66" t="str">
        <f>IFERROR(__xludf.DUMMYFUNCTION("""COMPUTED_VALUE"""),"Yes")</f>
        <v>Yes</v>
      </c>
      <c r="AY99" s="66">
        <f>IFERROR(__xludf.DUMMYFUNCTION("""COMPUTED_VALUE"""),15.99)</f>
        <v>15.99</v>
      </c>
      <c r="AZ99" s="61"/>
      <c r="BA99" s="61"/>
      <c r="BB99" s="61"/>
      <c r="BC99" s="61"/>
      <c r="BD99" s="61"/>
      <c r="BE99" s="61"/>
      <c r="BF99" s="61"/>
      <c r="BG99" s="61"/>
      <c r="BH99" s="61"/>
      <c r="BI99" s="61"/>
      <c r="BJ99" s="61"/>
      <c r="BK99" s="61"/>
      <c r="BL99" s="61"/>
      <c r="BM99" s="61"/>
      <c r="BN99" s="61"/>
      <c r="BO99" s="61"/>
      <c r="BP99" s="61"/>
      <c r="BQ99" s="61"/>
      <c r="BR99" s="61"/>
    </row>
    <row r="100" ht="15.75" customHeight="1">
      <c r="A100" s="61" t="str">
        <f>IFERROR(__xludf.DUMMYFUNCTION("""COMPUTED_VALUE"""),"Partial")</f>
        <v>Partial</v>
      </c>
      <c r="B100" s="62">
        <f>IFERROR(__xludf.DUMMYFUNCTION("""COMPUTED_VALUE"""),121.0)</f>
        <v>121</v>
      </c>
      <c r="C100" s="61" t="str">
        <f>IFERROR(__xludf.DUMMYFUNCTION("""COMPUTED_VALUE"""),"Partial")</f>
        <v>Partial</v>
      </c>
      <c r="D100" s="63" t="str">
        <f>IFERROR(__xludf.DUMMYFUNCTION("""COMPUTED_VALUE"""),"Submitted")</f>
        <v>Submitted</v>
      </c>
      <c r="E100" s="63">
        <f>IFERROR(__xludf.DUMMYFUNCTION("""COMPUTED_VALUE"""),46208.59027777778)</f>
        <v>46208.59028</v>
      </c>
      <c r="F100" s="61" t="str">
        <f>IFERROR(__xludf.DUMMYFUNCTION("""COMPUTED_VALUE"""),"Mawloda Hassas")</f>
        <v>Mawloda Hassas</v>
      </c>
      <c r="G100" s="61" t="str">
        <f>IFERROR(__xludf.DUMMYFUNCTION("""COMPUTED_VALUE"""),"Mawloda Hassas")</f>
        <v>Mawloda Hassas</v>
      </c>
      <c r="H100" s="61" t="str">
        <f>IFERROR(__xludf.DUMMYFUNCTION("""COMPUTED_VALUE"""),"mawlodahassas104@gmail.com")</f>
        <v>mawlodahassas104@gmail.com</v>
      </c>
      <c r="I100" s="61" t="str">
        <f>IFERROR(__xludf.DUMMYFUNCTION("""COMPUTED_VALUE"""),"laserhassas@gmail.com")</f>
        <v>laserhassas@gmail.com</v>
      </c>
      <c r="J100" s="61" t="str">
        <f>IFERROR(__xludf.DUMMYFUNCTION("""COMPUTED_VALUE"""),"Nglanjaran, Ngaglik, Sardonoharjo, Sleman, Indonesia")</f>
        <v>Nglanjaran, Ngaglik, Sardonoharjo, Sleman, Indonesia</v>
      </c>
      <c r="K100" s="61" t="str">
        <f>IFERROR(__xludf.DUMMYFUNCTION("""COMPUTED_VALUE"""),"Afghanistan")</f>
        <v>Afghanistan</v>
      </c>
      <c r="L100" s="64" t="str">
        <f>IFERROR(__xludf.DUMMYFUNCTION("""COMPUTED_VALUE"""),"+6285815994499")</f>
        <v>+6285815994499</v>
      </c>
      <c r="M100" s="64">
        <f>IFERROR(__xludf.DUMMYFUNCTION("""COMPUTED_VALUE"""),36701.0)</f>
        <v>36701</v>
      </c>
      <c r="N100" s="61" t="str">
        <f>IFERROR(__xludf.DUMMYFUNCTION("""COMPUTED_VALUE"""),"P10273441")</f>
        <v>P10273441</v>
      </c>
      <c r="O100" s="61" t="str">
        <f>IFERROR(__xludf.DUMMYFUNCTION("""COMPUTED_VALUE"""),"Laser Hassas")</f>
        <v>Laser Hassas</v>
      </c>
      <c r="P100" s="65" t="str">
        <f>IFERROR(__xludf.DUMMYFUNCTION("""COMPUTED_VALUE"""),"www.linkedin.com/in/mawloda-55043b200")</f>
        <v>www.linkedin.com/in/mawloda-55043b200</v>
      </c>
      <c r="Q100" s="61"/>
      <c r="R100" s="61"/>
      <c r="S100" s="61" t="str">
        <f>IFERROR(__xludf.DUMMYFUNCTION("""COMPUTED_VALUE"""),"Mawloda Hassas_Passport.pdf")</f>
        <v>Mawloda Hassas_Passport.pdf</v>
      </c>
      <c r="T100" s="61" t="str">
        <f>IFERROR(__xludf.DUMMYFUNCTION("""COMPUTED_VALUE"""),"profile photo.jpeg")</f>
        <v>profile photo.jpeg</v>
      </c>
      <c r="U100" s="61" t="str">
        <f>IFERROR(__xludf.DUMMYFUNCTION("""COMPUTED_VALUE"""),"Master Degree")</f>
        <v>Master Degree</v>
      </c>
      <c r="V100" s="61" t="str">
        <f>IFERROR(__xludf.DUMMYFUNCTION("""COMPUTED_VALUE"""),"International Law LL.M.")</f>
        <v>International Law LL.M.</v>
      </c>
      <c r="W100" s="61" t="str">
        <f>IFERROR(__xludf.DUMMYFUNCTION("""COMPUTED_VALUE"""),"Human Rights Law")</f>
        <v>Human Rights Law</v>
      </c>
      <c r="X100" s="61" t="str">
        <f>IFERROR(__xludf.DUMMYFUNCTION("""COMPUTED_VALUE"""),"Universitas Islam Indonesia (UII)")</f>
        <v>Universitas Islam Indonesia (UII)</v>
      </c>
      <c r="Y100" s="61" t="str">
        <f>IFERROR(__xludf.DUMMYFUNCTION("""COMPUTED_VALUE"""),"Yes")</f>
        <v>Yes</v>
      </c>
      <c r="Z100" s="61" t="str">
        <f>IFERROR(__xludf.DUMMYFUNCTION("""COMPUTED_VALUE"""),"Indonesia")</f>
        <v>Indonesia</v>
      </c>
      <c r="AA100" s="61" t="str">
        <f>IFERROR(__xludf.DUMMYFUNCTION("""COMPUTED_VALUE"""),"Yes")</f>
        <v>Yes</v>
      </c>
      <c r="AB100" s="61" t="str">
        <f>IFERROR(__xludf.DUMMYFUNCTION("""COMPUTED_VALUE"""),"Asian University For Women (AUW)")</f>
        <v>Asian University For Women (AUW)</v>
      </c>
      <c r="AC100" s="61" t="str">
        <f>IFERROR(__xludf.DUMMYFUNCTION("""COMPUTED_VALUE"""),"Yes, I am a human rights and policy researcher")</f>
        <v>Yes, I am a human rights and policy researcher</v>
      </c>
      <c r="AD100" s="61" t="str">
        <f>IFERROR(__xludf.DUMMYFUNCTION("""COMPUTED_VALUE"""),"Theirworld")</f>
        <v>Theirworld</v>
      </c>
      <c r="AE100" s="65" t="str">
        <f>IFERROR(__xludf.DUMMYFUNCTION("""COMPUTED_VALUE"""),"https://theirworld.org/?gad_source=1&amp;gad_campaignid=15140875628&amp;gbraid=0AAAAADNt75GqGgwqzaggKlE2MnQsMq9JC&amp;gclid=CjwKCAjwgajSBhBEEiwASicJU_9I3R1Sl-OPe_vGu4M3RuGjoARro1D8hBVPlrSIcHvtf5Ni-VAhyxoCyZUQAvD_BwE")</f>
        <v>https://theirworld.org/?gad_source=1&amp;gad_campaignid=15140875628&amp;gbraid=0AAAAADNt75GqGgwqzaggKlE2MnQsMq9JC&amp;gclid=CjwKCAjwgajSBhBEEiwASicJU_9I3R1Sl-OPe_vGu4M3RuGjoARro1D8hBVPlrSIcHvtf5Ni-VAhyxoCyZUQAvD_BwE</v>
      </c>
      <c r="AF100" s="61" t="str">
        <f>IFERROR(__xludf.DUMMYFUNCTION("""COMPUTED_VALUE"""),"Global Youth Ambassador")</f>
        <v>Global Youth Ambassador</v>
      </c>
      <c r="AG100" s="61" t="str">
        <f>IFERROR(__xludf.DUMMYFUNCTION("""COMPUTED_VALUE"""),"2")</f>
        <v>2</v>
      </c>
      <c r="AH100" s="61" t="str">
        <f>IFERROR(__xludf.DUMMYFUNCTION("""COMPUTED_VALUE"""),"No")</f>
        <v>No</v>
      </c>
      <c r="AI100" s="61"/>
      <c r="AJ100" s="61" t="str">
        <f>IFERROR(__xludf.DUMMYFUNCTION("""COMPUTED_VALUE"""),"I was working as a co-founder of EAAW")</f>
        <v>I was working as a co-founder of EAAW</v>
      </c>
      <c r="AK100" s="61" t="str">
        <f>IFERROR(__xludf.DUMMYFUNCTION("""COMPUTED_VALUE"""),"As a former Co-Founders of EAAW to inspire and equip youth through education, leadership and community involvement. We advocate for equal opportunities, and engaging in actions that promote social inclusion, and sustainable development, so that Afghan fem"&amp;"ale youth become competent to be responsible leaders and positive agents of change within their communities.")</f>
        <v>As a former Co-Founders of EAAW to inspire and equip youth through education, leadership and community involvement. We advocate for equal opportunities, and engaging in actions that promote social inclusion, and sustainable development, so that Afghan female youth become competent to be responsible leaders and positive agents of change within their communities.</v>
      </c>
      <c r="AL100" s="61" t="str">
        <f>IFERROR(__xludf.DUMMYFUNCTION("""COMPUTED_VALUE"""),"Policy and human rights researcher Researcher")</f>
        <v>Policy and human rights researcher Researcher</v>
      </c>
      <c r="AM100" s="61" t="str">
        <f>IFERROR(__xludf.DUMMYFUNCTION("""COMPUTED_VALUE"""),"Mawloda Hassas- Europass CV.pdf")</f>
        <v>Mawloda Hassas- Europass CV.pdf</v>
      </c>
      <c r="AN100" s="61" t="str">
        <f>IFERROR(__xludf.DUMMYFUNCTION("""COMPUTED_VALUE"""),"I think a good change starts from small steps and regular actions. As an LL.M. student with a focus on human rights, conducting research and advocacy to tackle issues related to marginalized communities, especially persons with disabilities and women in A"&amp;"fghanistan. I have been involved with youth-focused programs that advance education, leadership and equal opportunities. I also supervise youth, attend international Conferences and enter into cross-cultural dialogue to share ideas and forge partnerships."&amp;" My aim is to write research into viable policy options that will help to build more inclusive, just and resilient societies, both nationally and globally.")</f>
        <v>I think a good change starts from small steps and regular actions. As an LL.M. student with a focus on human rights, conducting research and advocacy to tackle issues related to marginalized communities, especially persons with disabilities and women in Afghanistan. I have been involved with youth-focused programs that advance education, leadership and equal opportunities. I also supervise youth, attend international Conferences and enter into cross-cultural dialogue to share ideas and forge partnerships. My aim is to write research into viable policy options that will help to build more inclusive, just and resilient societies, both nationally and globally.</v>
      </c>
      <c r="AO100" s="61" t="str">
        <f>IFERROR(__xludf.DUMMYFUNCTION("""COMPUTED_VALUE"""),"I believe that there isn't a single most important nation for diplomats because diplomacy relies on nation to nation cooperation. Indonesia is a key player in the diplomatic arena, however, due to its location, efforts to maintain stability in the region,"&amp;" and leadership within ASEAN. Indonesia is the world's largest archipelagic country and one of the largest democracies, and has been actively advocating dialogue, peaceful conflict resolution, and South cooperation. It is also a link between the developed"&amp;" and developing nations, giving a voice to the Global South. The significance of a country lies in its inclusive diplomacy and collaboration with other countries in a multilateral manner in the global world.")</f>
        <v>I believe that there isn't a single most important nation for diplomats because diplomacy relies on nation to nation cooperation. Indonesia is a key player in the diplomatic arena, however, due to its location, efforts to maintain stability in the region, and leadership within ASEAN. Indonesia is the world's largest archipelagic country and one of the largest democracies, and has been actively advocating dialogue, peaceful conflict resolution, and South cooperation. It is also a link between the developed and developing nations, giving a voice to the Global South. The significance of a country lies in its inclusive diplomacy and collaboration with other countries in a multilateral manner in the global world.</v>
      </c>
      <c r="AP100" s="61" t="str">
        <f>IFERROR(__xludf.DUMMYFUNCTION("""COMPUTED_VALUE"""),"Young people are a key group in diplomacy, as innovators, bridge builders and advocates for inclusive dialogue. Diplomacy is not just a government's job in a world that is more interconnected; youth play a part in building understanding, encouraging cultu"&amp;"ral exchange, and helping solve global issues by collaborating and engaging in their communities. They are great agents of change and have a creative mindset, digital literacy and a willingness to accept differences.
I feel very connected to the concept o"&amp;"f public diplomacy as part of my work as an LL.M. scholar in the field of human rights and governance, as good international relations can be built not only via official negotiations but by people-to-people contacts as well. My commitment to human rights,"&amp;" intercultural dialogue and inclusive policy making has been reinforced through my academic research, involvement in international conferences. My international experience of studying in Indonesia has also enriched me with a sense of importance in being u"&amp;"nderstanding, resilient, and cross-culturally aware.
I am looking forward to using public diplomacy to be a voice for those who are not heard, establishing connections between countries, and helping to develop policies that foster peace, justice, sustaina"&amp;"ble development. I feel that the youth are responsible and have the potential to create a more inclusive and cooperative future in the world.")</f>
        <v>Young people are a key group in diplomacy, as innovators, bridge builders and advocates for inclusive dialogue. Diplomacy is not just a government's job in a world that is more interconnected; youth play a part in building understanding, encouraging cultural exchange, and helping solve global issues by collaborating and engaging in their communities. They are great agents of change and have a creative mindset, digital literacy and a willingness to accept differences.
I feel very connected to the concept of public diplomacy as part of my work as an LL.M. scholar in the field of human rights and governance, as good international relations can be built not only via official negotiations but by people-to-people contacts as well. My commitment to human rights, intercultural dialogue and inclusive policy making has been reinforced through my academic research, involvement in international conferences. My international experience of studying in Indonesia has also enriched me with a sense of importance in being understanding, resilient, and cross-culturally aware.
I am looking forward to using public diplomacy to be a voice for those who are not heard, establishing connections between countries, and helping to develop policies that foster peace, justice, sustainable development. I feel that the youth are responsible and have the potential to create a more inclusive and cooperative future in the world.</v>
      </c>
      <c r="AQ100" s="61" t="str">
        <f>IFERROR(__xludf.DUMMYFUNCTION("""COMPUTED_VALUE"""),"Passion is the inner motivation that drives our actions, otherwise we wouldn't do them, even if it seems like it's a huge challenge. It's the mindset that continues to learn, to grow, to do something even when they encounter challenges. Passion turns drea"&amp;"ms into goals and then moves them into action and consistency in achieving them.
My passion is for advancing human rights, inclusive governance and through education and leadership empowering young people. This passion has driven me to get an LL.M. degree"&amp;" and do research on the rights of marginalized communities, participate in international conferences and leadership programs. All my experiences have reinforced my conviction that change starts with knowledgeable and dedicated people.
My passion is to be "&amp;"able to continue to work on the long-term vision of contributing to equitable policies and international cooperation. It reminds me that it isn't a setback, but a learning opportunity. In conclusion, my perseverance is rooted in my passion and it's what c"&amp;"ontinues to propel me forward to become a positive influence in society.")</f>
        <v>Passion is the inner motivation that drives our actions, otherwise we wouldn't do them, even if it seems like it's a huge challenge. It's the mindset that continues to learn, to grow, to do something even when they encounter challenges. Passion turns dreams into goals and then moves them into action and consistency in achieving them.
My passion is for advancing human rights, inclusive governance and through education and leadership empowering young people. This passion has driven me to get an LL.M. degree and do research on the rights of marginalized communities, participate in international conferences and leadership programs. All my experiences have reinforced my conviction that change starts with knowledgeable and dedicated people.
My passion is to be able to continue to work on the long-term vision of contributing to equitable policies and international cooperation. It reminds me that it isn't a setback, but a learning opportunity. In conclusion, my perseverance is rooted in my passion and it's what continues to propel me forward to become a positive influence in society.</v>
      </c>
      <c r="AR100" s="61" t="str">
        <f>IFERROR(__xludf.DUMMYFUNCTION("""COMPUTED_VALUE"""),"I truly believe that I am a creative person as I like finding meaningful and practical way to connect people, ideas and culture. The creativity in me is not just in art or design; it is the ability to articulate complex issues in a way that raises awarene"&amp;"ss and understanding and inspires action.
As an LL.M. student, I have acquired a skill which is essential for me to convey human rights and governance issues to varied audiences: the ability to research and narrate a story. I have engaged in international"&amp;" programs, dialogue and cultural exchange and youth engagement have fostered mutual understanding and cooperation.
I think it is important to have creativity in public diplomacy, as it can help to develop trust and build relationships that are meaningful "&amp;"across cultures. I would engage in informal communication alongside formal communication, and rely on digital platforms, community-based projects, cultural exchange programmes and youth dialogues to foster mutual values and tackle shared challenges. Publi"&amp;"c diplomacy is more engaging and impactful when it is inclusive and focuses on personal anecdotes.
I think dialogue starts with listening, valuing alternative points of view and making space for others to be heard. I intend to make a difference in the wor"&amp;"ld with creativity, empathy, and collaboration to foster a peaceful, connected, and inclusive global society.")</f>
        <v>I truly believe that I am a creative person as I like finding meaningful and practical way to connect people, ideas and culture. The creativity in me is not just in art or design; it is the ability to articulate complex issues in a way that raises awareness and understanding and inspires action.
As an LL.M. student, I have acquired a skill which is essential for me to convey human rights and governance issues to varied audiences: the ability to research and narrate a story. I have engaged in international programs, dialogue and cultural exchange and youth engagement have fostered mutual understanding and cooperation.
I think it is important to have creativity in public diplomacy, as it can help to develop trust and build relationships that are meaningful across cultures. I would engage in informal communication alongside formal communication, and rely on digital platforms, community-based projects, cultural exchange programmes and youth dialogues to foster mutual values and tackle shared challenges. Public diplomacy is more engaging and impactful when it is inclusive and focuses on personal anecdotes.
I think dialogue starts with listening, valuing alternative points of view and making space for others to be heard. I intend to make a difference in the world with creativity, empathy, and collaboration to foster a peaceful, connected, and inclusive global society.</v>
      </c>
      <c r="AS100" s="61" t="str">
        <f>IFERROR(__xludf.DUMMYFUNCTION("""COMPUTED_VALUE"""),"Yes")</f>
        <v>Yes</v>
      </c>
      <c r="AT100" s="61" t="str">
        <f>IFERROR(__xludf.DUMMYFUNCTION("""COMPUTED_VALUE"""),"Yes")</f>
        <v>Yes</v>
      </c>
      <c r="AU100" s="61" t="str">
        <f>IFERROR(__xludf.DUMMYFUNCTION("""COMPUTED_VALUE"""),"Global Politics, Diplomacy &amp; Identities")</f>
        <v>Global Politics, Diplomacy &amp; Identities</v>
      </c>
      <c r="AV100" s="61" t="str">
        <f>IFERROR(__xludf.DUMMYFUNCTION("""COMPUTED_VALUE"""),"LinkedIn")</f>
        <v>LinkedIn</v>
      </c>
      <c r="AW100" s="61" t="str">
        <f>IFERROR(__xludf.DUMMYFUNCTION("""COMPUTED_VALUE"""),"The program module that interests me the most is Public Diplomacy and Global Leadership.")</f>
        <v>The program module that interests me the most is Public Diplomacy and Global Leadership.</v>
      </c>
      <c r="AX100" s="66" t="str">
        <f>IFERROR(__xludf.DUMMYFUNCTION("""COMPUTED_VALUE"""),"Yes")</f>
        <v>Yes</v>
      </c>
      <c r="AY100" s="66">
        <f>IFERROR(__xludf.DUMMYFUNCTION("""COMPUTED_VALUE"""),15.99)</f>
        <v>15.99</v>
      </c>
      <c r="AZ100" s="61"/>
      <c r="BA100" s="61"/>
      <c r="BB100" s="61"/>
      <c r="BC100" s="61"/>
      <c r="BD100" s="61"/>
      <c r="BE100" s="61"/>
      <c r="BF100" s="61"/>
      <c r="BG100" s="61"/>
      <c r="BH100" s="61"/>
      <c r="BI100" s="61"/>
      <c r="BJ100" s="61"/>
      <c r="BK100" s="61"/>
      <c r="BL100" s="61"/>
      <c r="BM100" s="61"/>
      <c r="BN100" s="61"/>
      <c r="BO100" s="61"/>
      <c r="BP100" s="61"/>
      <c r="BQ100" s="61"/>
      <c r="BR100" s="61"/>
    </row>
    <row r="101" ht="15.75" customHeight="1">
      <c r="A101" s="61" t="str">
        <f>IFERROR(__xludf.DUMMYFUNCTION("""COMPUTED_VALUE"""),"Self")</f>
        <v>Self</v>
      </c>
      <c r="B101" s="62">
        <f>IFERROR(__xludf.DUMMYFUNCTION("""COMPUTED_VALUE"""),122.0)</f>
        <v>122</v>
      </c>
      <c r="C101" s="61" t="str">
        <f>IFERROR(__xludf.DUMMYFUNCTION("""COMPUTED_VALUE"""),"Self")</f>
        <v>Self</v>
      </c>
      <c r="D101" s="63" t="str">
        <f>IFERROR(__xludf.DUMMYFUNCTION("""COMPUTED_VALUE"""),"Submitted")</f>
        <v>Submitted</v>
      </c>
      <c r="E101" s="63">
        <f>IFERROR(__xludf.DUMMYFUNCTION("""COMPUTED_VALUE"""),46208.60763888889)</f>
        <v>46208.60764</v>
      </c>
      <c r="F101" s="61" t="str">
        <f>IFERROR(__xludf.DUMMYFUNCTION("""COMPUTED_VALUE"""),"Dr Muhammad Areeb")</f>
        <v>Dr Muhammad Areeb</v>
      </c>
      <c r="G101" s="61" t="str">
        <f>IFERROR(__xludf.DUMMYFUNCTION("""COMPUTED_VALUE"""),"Muhammad Areeb")</f>
        <v>Muhammad Areeb</v>
      </c>
      <c r="H101" s="61" t="str">
        <f>IFERROR(__xludf.DUMMYFUNCTION("""COMPUTED_VALUE"""),"m.areeb335@gmail.com")</f>
        <v>m.areeb335@gmail.com</v>
      </c>
      <c r="I101" s="61" t="str">
        <f>IFERROR(__xludf.DUMMYFUNCTION("""COMPUTED_VALUE"""),"m.areeb335@gmail.com")</f>
        <v>m.areeb335@gmail.com</v>
      </c>
      <c r="J101" s="61" t="str">
        <f>IFERROR(__xludf.DUMMYFUNCTION("""COMPUTED_VALUE"""),"A-587 Phase 1 1st floor Gulshan e Hadeed Bin Qasim, A1-4 city villa scheme 33 gulzar e hijri, Karachi")</f>
        <v>A-587 Phase 1 1st floor Gulshan e Hadeed Bin Qasim, A1-4 city villa scheme 33 gulzar e hijri, Karachi</v>
      </c>
      <c r="K101" s="61" t="str">
        <f>IFERROR(__xludf.DUMMYFUNCTION("""COMPUTED_VALUE"""),"Pakistan")</f>
        <v>Pakistan</v>
      </c>
      <c r="L101" s="64" t="str">
        <f>IFERROR(__xludf.DUMMYFUNCTION("""COMPUTED_VALUE"""),"03162468242")</f>
        <v>03162468242</v>
      </c>
      <c r="M101" s="64">
        <f>IFERROR(__xludf.DUMMYFUNCTION("""COMPUTED_VALUE"""),36005.0)</f>
        <v>36005</v>
      </c>
      <c r="N101" s="61" t="str">
        <f>IFERROR(__xludf.DUMMYFUNCTION("""COMPUTED_VALUE"""),"AM1931541")</f>
        <v>AM1931541</v>
      </c>
      <c r="O101" s="61" t="str">
        <f>IFERROR(__xludf.DUMMYFUNCTION("""COMPUTED_VALUE"""),"03322597062")</f>
        <v>03322597062</v>
      </c>
      <c r="P101" s="67" t="str">
        <f>IFERROR(__xludf.DUMMYFUNCTION("""COMPUTED_VALUE"""),"https://www.linkedin.com/in/dr-muhammad-areeb-4699102ab?utm_source=share_via&amp;utm_content=profile&amp;utm_medium=member_ios")</f>
        <v>https://www.linkedin.com/in/dr-muhammad-areeb-4699102ab?utm_source=share_via&amp;utm_content=profile&amp;utm_medium=member_ios</v>
      </c>
      <c r="Q101" s="65" t="str">
        <f>IFERROR(__xludf.DUMMYFUNCTION("""COMPUTED_VALUE"""),"https://www.instagram.com/m_areeb_?igsh=MTM2eGpob21jc3lxOA%3D%3D&amp;utm_source=qr")</f>
        <v>https://www.instagram.com/m_areeb_?igsh=MTM2eGpob21jc3lxOA%3D%3D&amp;utm_source=qr</v>
      </c>
      <c r="R101" s="61"/>
      <c r="S101" s="61" t="str">
        <f>IFERROR(__xludf.DUMMYFUNCTION("""COMPUTED_VALUE"""),"passport Areeb.pdf")</f>
        <v>passport Areeb.pdf</v>
      </c>
      <c r="T101" s="61" t="str">
        <f>IFERROR(__xludf.DUMMYFUNCTION("""COMPUTED_VALUE"""),"2ea46480-1194-49e7-9b7f-068c91a06189-doit.pk.jpg")</f>
        <v>2ea46480-1194-49e7-9b7f-068c91a06189-doit.pk.jpg</v>
      </c>
      <c r="U101" s="61" t="str">
        <f>IFERROR(__xludf.DUMMYFUNCTION("""COMPUTED_VALUE"""),"Bachelor")</f>
        <v>Bachelor</v>
      </c>
      <c r="V101" s="61" t="str">
        <f>IFERROR(__xludf.DUMMYFUNCTION("""COMPUTED_VALUE"""),"MBBS")</f>
        <v>MBBS</v>
      </c>
      <c r="W101" s="61" t="str">
        <f>IFERROR(__xludf.DUMMYFUNCTION("""COMPUTED_VALUE"""),"General physician")</f>
        <v>General physician</v>
      </c>
      <c r="X101" s="61" t="str">
        <f>IFERROR(__xludf.DUMMYFUNCTION("""COMPUTED_VALUE"""),"Dow university of health sciences")</f>
        <v>Dow university of health sciences</v>
      </c>
      <c r="Y101" s="61" t="str">
        <f>IFERROR(__xludf.DUMMYFUNCTION("""COMPUTED_VALUE"""),"Yes")</f>
        <v>Yes</v>
      </c>
      <c r="Z101" s="61" t="str">
        <f>IFERROR(__xludf.DUMMYFUNCTION("""COMPUTED_VALUE"""),"Pakistan")</f>
        <v>Pakistan</v>
      </c>
      <c r="AA101" s="61" t="str">
        <f>IFERROR(__xludf.DUMMYFUNCTION("""COMPUTED_VALUE"""),"No")</f>
        <v>No</v>
      </c>
      <c r="AB101" s="61"/>
      <c r="AC101" s="61" t="str">
        <f>IFERROR(__xludf.DUMMYFUNCTION("""COMPUTED_VALUE"""),"Yes")</f>
        <v>Yes</v>
      </c>
      <c r="AD101" s="61" t="str">
        <f>IFERROR(__xludf.DUMMYFUNCTION("""COMPUTED_VALUE"""),"HOPES")</f>
        <v>HOPES</v>
      </c>
      <c r="AE101" s="65" t="str">
        <f>IFERROR(__xludf.DUMMYFUNCTION("""COMPUTED_VALUE"""),"https://hopes.org.pk/")</f>
        <v>https://hopes.org.pk/</v>
      </c>
      <c r="AF101" s="61" t="str">
        <f>IFERROR(__xludf.DUMMYFUNCTION("""COMPUTED_VALUE"""),"Community Health Volunteer – Drug Bank &amp; Health Outreach")</f>
        <v>Community Health Volunteer – Drug Bank &amp; Health Outreach</v>
      </c>
      <c r="AG101" s="61" t="str">
        <f>IFERROR(__xludf.DUMMYFUNCTION("""COMPUTED_VALUE"""),"1")</f>
        <v>1</v>
      </c>
      <c r="AH101" s="61" t="str">
        <f>IFERROR(__xludf.DUMMYFUNCTION("""COMPUTED_VALUE"""),"Yes")</f>
        <v>Yes</v>
      </c>
      <c r="AI101" s="61" t="str">
        <f>IFERROR(__xludf.DUMMYFUNCTION("""COMPUTED_VALUE"""),"Medical Officer (Public Health), Directorate of Health Services, Government of Sindh")</f>
        <v>Medical Officer (Public Health), Directorate of Health Services, Government of Sindh</v>
      </c>
      <c r="AJ101" s="61" t="str">
        <f>IFERROR(__xludf.DUMMYFUNCTION("""COMPUTED_VALUE"""),"SAVE organisation")</f>
        <v>SAVE organisation</v>
      </c>
      <c r="AK101" s="61" t="str">
        <f>IFERROR(__xludf.DUMMYFUNCTION("""COMPUTED_VALUE"""),"SAVE Organization is a youth-led initiative dedicated to promoting community health, preventive healthcare, health awareness, environmental sustainability, and youth engagement through volunteerism, public education campaigns, and social service activitie"&amp;"s. Our mission is to empower young people to become leaders in creating healthier and more resilient communities.")</f>
        <v>SAVE Organization is a youth-led initiative dedicated to promoting community health, preventive healthcare, health awareness, environmental sustainability, and youth engagement through volunteerism, public education campaigns, and social service activities. Our mission is to empower young people to become leaders in creating healthier and more resilient communities.</v>
      </c>
      <c r="AL101" s="61" t="str">
        <f>IFERROR(__xludf.DUMMYFUNCTION("""COMPUTED_VALUE"""),"Public Health Leadership, Clinical Medicine, Health Policy, Health Systems Strengthening, Community Health, Project Management, Research, Health Communication, Team Leadership, Event Coordination, Strategic Planning.")</f>
        <v>Public Health Leadership, Clinical Medicine, Health Policy, Health Systems Strengthening, Community Health, Project Management, Research, Health Communication, Team Leadership, Event Coordination, Strategic Planning.</v>
      </c>
      <c r="AM101" s="61" t="str">
        <f>IFERROR(__xludf.DUMMYFUNCTION("""COMPUTED_VALUE"""),"CV areeb.pdf")</f>
        <v>CV areeb.pdf</v>
      </c>
      <c r="AN101" s="61" t="str">
        <f>IFERROR(__xludf.DUMMYFUNCTION("""COMPUTED_VALUE"""),"Yes. As a physician, I believe meaningful change begins by improving the lives of individuals and communities. I have served patients in both clinical and public health settings, volunteered with HOPES to support access to essential medicines, and partici"&amp;"pated in health awareness initiatives promoting disease prevention and healthy lifestyles. Currently, as a Medical Officer and a Master’s student in Health Policy and Management in Aga khan university ,I am strengthening my ability to improve healthcare s"&amp;"ystems beyond individual patient care. My goal is to combine medical practice, public health, and policy to reduce health inequalities and build healthier, more resilient communities.")</f>
        <v>Yes. As a physician, I believe meaningful change begins by improving the lives of individuals and communities. I have served patients in both clinical and public health settings, volunteered with HOPES to support access to essential medicines, and participated in health awareness initiatives promoting disease prevention and healthy lifestyles. Currently, as a Medical Officer and a Master’s student in Health Policy and Management in Aga khan university ,I am strengthening my ability to improve healthcare systems beyond individual patient care. My goal is to combine medical practice, public health, and policy to reduce health inequalities and build healthier, more resilient communities.</v>
      </c>
      <c r="AO101" s="61" t="str">
        <f>IFERROR(__xludf.DUMMYFUNCTION("""COMPUTED_VALUE"""),"I believe Switzerland is one of the world’s most diplomatically significant countries. It is long standing neutrality, commitment to peace, and role as host to organisations such as the United Nations Office in Geneva, the World Health Organisation, and t"&amp;"he World Trade Organisation make it a global hub for dialogue and international cooperation. Switzerland demonstrates how diplomacy can bridge political differences and support collective solutions to global challenges. It’s approach to consensus building"&amp;" and humanitarian engagement inspires future leaders to prioritise collaboration, respect, and peaceful conflict resolution in addressing issues that affect people across borders.")</f>
        <v>I believe Switzerland is one of the world’s most diplomatically significant countries. It is long standing neutrality, commitment to peace, and role as host to organisations such as the United Nations Office in Geneva, the World Health Organisation, and the World Trade Organisation make it a global hub for dialogue and international cooperation. Switzerland demonstrates how diplomacy can bridge political differences and support collective solutions to global challenges. It’s approach to consensus building and humanitarian engagement inspires future leaders to prioritise collaboration, respect, and peaceful conflict resolution in addressing issues that affect people across borders.</v>
      </c>
      <c r="AP101" s="61" t="str">
        <f>IFERROR(__xludf.DUMMYFUNCTION("""COMPUTED_VALUE"""),"Young people are essential partners in diplomacy because they bring innovation, energy, and diverse perspectives to solving global challenges. Public diplomacy is no longer limited to governments; it also depends on citizens, professionals, researchers an"&amp;"d community leaders who build trust and understanding across cultures. Through dialogue, collaboration, and service, young people can strengthen international relationships and promote sustainable development.
As a physician and public health professiona"&amp;"l, I see public diplomacy through the lens of health. Diseases, climate change, and health emergencies do not recognize national borders, making international cooperation essential. My work in clinical practice, public health, and community service has sh"&amp;"own me that listening to communities and working across sectors are as important as technical knowledge.
Pursuing a Master’s in Health Policy and Management has strengthened my understanding of how evidence-based policies and international partnerships i"&amp;"mprove health systems. I hope to contribute by promoting health equity, sharing best practices, and encouraging collaboration between countries. Participating in YPDS would allow me to learn from global leaders while contributing my experiences from Pakis"&amp;"tan. I believe youth led diplomacy has the power to build trust, strengthen cooperation and create practical solutions to shared global challenges.")</f>
        <v>Young people are essential partners in diplomacy because they bring innovation, energy, and diverse perspectives to solving global challenges. Public diplomacy is no longer limited to governments; it also depends on citizens, professionals, researchers and community leaders who build trust and understanding across cultures. Through dialogue, collaboration, and service, young people can strengthen international relationships and promote sustainable development.
As a physician and public health professional, I see public diplomacy through the lens of health. Diseases, climate change, and health emergencies do not recognize national borders, making international cooperation essential. My work in clinical practice, public health, and community service has shown me that listening to communities and working across sectors are as important as technical knowledge.
Pursuing a Master’s in Health Policy and Management has strengthened my understanding of how evidence-based policies and international partnerships improve health systems. I hope to contribute by promoting health equity, sharing best practices, and encouraging collaboration between countries. Participating in YPDS would allow me to learn from global leaders while contributing my experiences from Pakistan. I believe youth led diplomacy has the power to build trust, strengthen cooperation and create practical solutions to shared global challenges.</v>
      </c>
      <c r="AQ101" s="61" t="str">
        <f>IFERROR(__xludf.DUMMYFUNCTION("""COMPUTED_VALUE"""),"Passion is the inner commitment that motivates a person to continue working toward meaningful goals despite challenges. It transforms ambition into consistent action and encourages lifelong learning, resilience, and service.
My passion is improving publi"&amp;"c health and strengthening healthcare systems. This passion led me to pursue medicine, work as a Medical Officer, volunteer in community health initiatives, and continue my education through a Masters in Health Policy and Management. Every experience has "&amp;"reinforced my belief that quality healthcare depends on effective leadership, evidence-based policies, and collaboration across communities and countries.
Passion keeps me focused on creating positive change, whether by treating patients, supporting publ"&amp;"ic health programs, or learning from international experiences. It reminds me that leadership is measured not only by achievements but also by the positive impact we leave on the lives of others.")</f>
        <v>Passion is the inner commitment that motivates a person to continue working toward meaningful goals despite challenges. It transforms ambition into consistent action and encourages lifelong learning, resilience, and service.
My passion is improving public health and strengthening healthcare systems. This passion led me to pursue medicine, work as a Medical Officer, volunteer in community health initiatives, and continue my education through a Masters in Health Policy and Management. Every experience has reinforced my belief that quality healthcare depends on effective leadership, evidence-based policies, and collaboration across communities and countries.
Passion keeps me focused on creating positive change, whether by treating patients, supporting public health programs, or learning from international experiences. It reminds me that leadership is measured not only by achievements but also by the positive impact we leave on the lives of others.</v>
      </c>
      <c r="AR101" s="61" t="str">
        <f>IFERROR(__xludf.DUMMYFUNCTION("""COMPUTED_VALUE"""),"Yes. I believe creativity is the ability to develop practical and inclusive solutions to complex challenges. In healthcare, creativity means finding innovative ways to communicate health information, engage communities, and encourage positive behavior cha"&amp;"nge.
An effective public diplomacy strategy should combine innovation with cultural understanding. I would use digital platforms, community outreach, and storytelling to promote health awareness and intercultural dialogue. By sharing successful public he"&amp;"alth initiatives, encouraging youth exchanges, and organizing collaborative campaigns, we can build trust and strengthen relationships between communities and countries.
As a physician and public health professional, I have learned that successful commun"&amp;"ication begins with listening. Every community has unique needs, values and experiences. A creative diplomacy strategy should therefore be based on mutual respect, evidence and local participation rather than one way communication.
Through YPDS, I hope t"&amp;"o exchange ideas with participants from diverse backgrounds, learn new approaches to diplomacy, and contribute my experience in health leadership. I believe creativity, empathy and collaboration can transform public diplomacy into a powerful tool for prom"&amp;"oting peace, sustainable development, and global well being.")</f>
        <v>Yes. I believe creativity is the ability to develop practical and inclusive solutions to complex challenges. In healthcare, creativity means finding innovative ways to communicate health information, engage communities, and encourage positive behavior change.
An effective public diplomacy strategy should combine innovation with cultural understanding. I would use digital platforms, community outreach, and storytelling to promote health awareness and intercultural dialogue. By sharing successful public health initiatives, encouraging youth exchanges, and organizing collaborative campaigns, we can build trust and strengthen relationships between communities and countries.
As a physician and public health professional, I have learned that successful communication begins with listening. Every community has unique needs, values and experiences. A creative diplomacy strategy should therefore be based on mutual respect, evidence and local participation rather than one way communication.
Through YPDS, I hope to exchange ideas with participants from diverse backgrounds, learn new approaches to diplomacy, and contribute my experience in health leadership. I believe creativity, empathy and collaboration can transform public diplomacy into a powerful tool for promoting peace, sustainable development, and global well being.</v>
      </c>
      <c r="AS101" s="61" t="str">
        <f>IFERROR(__xludf.DUMMYFUNCTION("""COMPUTED_VALUE"""),"Yes")</f>
        <v>Yes</v>
      </c>
      <c r="AT101" s="61" t="str">
        <f>IFERROR(__xludf.DUMMYFUNCTION("""COMPUTED_VALUE"""),"Yes")</f>
        <v>Yes</v>
      </c>
      <c r="AU101" s="61" t="str">
        <f>IFERROR(__xludf.DUMMYFUNCTION("""COMPUTED_VALUE"""),"Global Politics, Diplomacy &amp; Identities")</f>
        <v>Global Politics, Diplomacy &amp; Identities</v>
      </c>
      <c r="AV101" s="61" t="str">
        <f>IFERROR(__xludf.DUMMYFUNCTION("""COMPUTED_VALUE"""),"Facebook (scholarship corner )")</f>
        <v>Facebook (scholarship corner )</v>
      </c>
      <c r="AW101" s="61" t="str">
        <f>IFERROR(__xludf.DUMMYFUNCTION("""COMPUTED_VALUE"""),"Global Health Diplomacy and International Health Policy")</f>
        <v>Global Health Diplomacy and International Health Policy</v>
      </c>
      <c r="AX101" s="66" t="str">
        <f>IFERROR(__xludf.DUMMYFUNCTION("""COMPUTED_VALUE"""),"Yes")</f>
        <v>Yes</v>
      </c>
      <c r="AY101" s="66">
        <f>IFERROR(__xludf.DUMMYFUNCTION("""COMPUTED_VALUE"""),15.99)</f>
        <v>15.99</v>
      </c>
      <c r="AZ101" s="61"/>
      <c r="BA101" s="61"/>
      <c r="BB101" s="61"/>
      <c r="BC101" s="61"/>
      <c r="BD101" s="61"/>
      <c r="BE101" s="61"/>
      <c r="BF101" s="61"/>
      <c r="BG101" s="61"/>
      <c r="BH101" s="61"/>
      <c r="BI101" s="61"/>
      <c r="BJ101" s="61"/>
      <c r="BK101" s="61"/>
      <c r="BL101" s="61"/>
      <c r="BM101" s="61"/>
      <c r="BN101" s="61"/>
      <c r="BO101" s="61"/>
      <c r="BP101" s="61"/>
      <c r="BQ101" s="61"/>
      <c r="BR101" s="61"/>
    </row>
    <row r="102" ht="15.75" customHeight="1">
      <c r="A102" s="61" t="str">
        <f>IFERROR(__xludf.DUMMYFUNCTION("""COMPUTED_VALUE"""),"Self")</f>
        <v>Self</v>
      </c>
      <c r="B102" s="62">
        <f>IFERROR(__xludf.DUMMYFUNCTION("""COMPUTED_VALUE"""),123.0)</f>
        <v>123</v>
      </c>
      <c r="C102" s="61" t="str">
        <f>IFERROR(__xludf.DUMMYFUNCTION("""COMPUTED_VALUE"""),"Self")</f>
        <v>Self</v>
      </c>
      <c r="D102" s="63" t="str">
        <f>IFERROR(__xludf.DUMMYFUNCTION("""COMPUTED_VALUE"""),"Submitted")</f>
        <v>Submitted</v>
      </c>
      <c r="E102" s="63">
        <f>IFERROR(__xludf.DUMMYFUNCTION("""COMPUTED_VALUE"""),46208.64930555555)</f>
        <v>46208.64931</v>
      </c>
      <c r="F102" s="61" t="str">
        <f>IFERROR(__xludf.DUMMYFUNCTION("""COMPUTED_VALUE"""),"NIDAL ABUSWEIREH")</f>
        <v>NIDAL ABUSWEIREH</v>
      </c>
      <c r="G102" s="61" t="str">
        <f>IFERROR(__xludf.DUMMYFUNCTION("""COMPUTED_VALUE"""),"NIDAL ABDELRAHMAN IBRAHIM ABUSWEIREH")</f>
        <v>NIDAL ABDELRAHMAN IBRAHIM ABUSWEIREH</v>
      </c>
      <c r="H102" s="61" t="str">
        <f>IFERROR(__xludf.DUMMYFUNCTION("""COMPUTED_VALUE"""),"niddal87@gmail.com")</f>
        <v>niddal87@gmail.com</v>
      </c>
      <c r="I102" s="61" t="str">
        <f>IFERROR(__xludf.DUMMYFUNCTION("""COMPUTED_VALUE"""),"niddal_87@hotmail.com")</f>
        <v>niddal_87@hotmail.com</v>
      </c>
      <c r="J102" s="61" t="str">
        <f>IFERROR(__xludf.DUMMYFUNCTION("""COMPUTED_VALUE"""),"KAYASEHIR, BASAKSEHIR, Türkiye")</f>
        <v>KAYASEHIR, BASAKSEHIR, Türkiye</v>
      </c>
      <c r="K102" s="61" t="str">
        <f>IFERROR(__xludf.DUMMYFUNCTION("""COMPUTED_VALUE"""),"PALESTINE")</f>
        <v>PALESTINE</v>
      </c>
      <c r="L102" s="64" t="str">
        <f>IFERROR(__xludf.DUMMYFUNCTION("""COMPUTED_VALUE"""),"00905386430222")</f>
        <v>00905386430222</v>
      </c>
      <c r="M102" s="64">
        <f>IFERROR(__xludf.DUMMYFUNCTION("""COMPUTED_VALUE"""),32011.0)</f>
        <v>32011</v>
      </c>
      <c r="N102" s="61" t="str">
        <f>IFERROR(__xludf.DUMMYFUNCTION("""COMPUTED_VALUE"""),"10569451")</f>
        <v>10569451</v>
      </c>
      <c r="O102" s="61" t="str">
        <f>IFERROR(__xludf.DUMMYFUNCTION("""COMPUTED_VALUE"""),"⁦+905396211066⁩")</f>
        <v>⁦+905396211066⁩</v>
      </c>
      <c r="P102" s="67" t="str">
        <f>IFERROR(__xludf.DUMMYFUNCTION("""COMPUTED_VALUE"""),"https://www.linkedin.com/in/nabusweireh/")</f>
        <v>https://www.linkedin.com/in/nabusweireh/</v>
      </c>
      <c r="Q102" s="61"/>
      <c r="R102" s="61"/>
      <c r="S102" s="61" t="str">
        <f>IFERROR(__xludf.DUMMYFUNCTION("""COMPUTED_VALUE"""),"WhatsApp Image 2026-01-10 at 11.56.51 PM (1).jpeg")</f>
        <v>WhatsApp Image 2026-01-10 at 11.56.51 PM (1).jpeg</v>
      </c>
      <c r="T102" s="61" t="str">
        <f>IFERROR(__xludf.DUMMYFUNCTION("""COMPUTED_VALUE"""),"صورة شخصية.jpg")</f>
        <v>صورة شخصية.jpg</v>
      </c>
      <c r="U102" s="61" t="str">
        <f>IFERROR(__xludf.DUMMYFUNCTION("""COMPUTED_VALUE"""),"PhD")</f>
        <v>PhD</v>
      </c>
      <c r="V102" s="61" t="str">
        <f>IFERROR(__xludf.DUMMYFUNCTION("""COMPUTED_VALUE"""),"PhD in Business Administration (in progress)")</f>
        <v>PhD in Business Administration (in progress)</v>
      </c>
      <c r="W102" s="61" t="str">
        <f>IFERROR(__xludf.DUMMYFUNCTION("""COMPUTED_VALUE"""),"Business Administration")</f>
        <v>Business Administration</v>
      </c>
      <c r="X102" s="61" t="str">
        <f>IFERROR(__xludf.DUMMYFUNCTION("""COMPUTED_VALUE"""),"Istanbul Commerce University")</f>
        <v>Istanbul Commerce University</v>
      </c>
      <c r="Y102" s="61" t="str">
        <f>IFERROR(__xludf.DUMMYFUNCTION("""COMPUTED_VALUE"""),"Yes")</f>
        <v>Yes</v>
      </c>
      <c r="Z102" s="61" t="str">
        <f>IFERROR(__xludf.DUMMYFUNCTION("""COMPUTED_VALUE"""),"Türkiye")</f>
        <v>Türkiye</v>
      </c>
      <c r="AA102" s="61" t="str">
        <f>IFERROR(__xludf.DUMMYFUNCTION("""COMPUTED_VALUE"""),"No")</f>
        <v>No</v>
      </c>
      <c r="AB102" s="61"/>
      <c r="AC102" s="61" t="str">
        <f>IFERROR(__xludf.DUMMYFUNCTION("""COMPUTED_VALUE"""),"Yes, I am familiar with academic research and have published research in Business Administration.")</f>
        <v>Yes, I am familiar with academic research and have published research in Business Administration.</v>
      </c>
      <c r="AD102" s="61" t="str">
        <f>IFERROR(__xludf.DUMMYFUNCTION("""COMPUTED_VALUE"""),"Yes, I volunteered with the Ministry of Education in Gaza and AFAD (Disaster and Emergency Management Authority) in Turkey.")</f>
        <v>Yes, I volunteered with the Ministry of Education in Gaza and AFAD (Disaster and Emergency Management Authority) in Turkey.</v>
      </c>
      <c r="AE102" s="65" t="str">
        <f>IFERROR(__xludf.DUMMYFUNCTION("""COMPUTED_VALUE"""),"https://afad.gov.tr")</f>
        <v>https://afad.gov.tr</v>
      </c>
      <c r="AF102" s="61" t="str">
        <f>IFERROR(__xludf.DUMMYFUNCTION("""COMPUTED_VALUE"""),"Volunteer")</f>
        <v>Volunteer</v>
      </c>
      <c r="AG102" s="61" t="str">
        <f>IFERROR(__xludf.DUMMYFUNCTION("""COMPUTED_VALUE"""),"3")</f>
        <v>3</v>
      </c>
      <c r="AH102" s="61" t="str">
        <f>IFERROR(__xludf.DUMMYFUNCTION("""COMPUTED_VALUE"""),"Yes")</f>
        <v>Yes</v>
      </c>
      <c r="AI102" s="61" t="str">
        <f>IFERROR(__xludf.DUMMYFUNCTION("""COMPUTED_VALUE"""),"Human Resources Manager")</f>
        <v>Human Resources Manager</v>
      </c>
      <c r="AJ102" s="61" t="str">
        <f>IFERROR(__xludf.DUMMYFUNCTION("""COMPUTED_VALUE"""),"Yes")</f>
        <v>Yes</v>
      </c>
      <c r="AK102" s="61" t="str">
        <f>IFERROR(__xludf.DUMMYFUNCTION("""COMPUTED_VALUE"""),"The organization aims to promote volunteering, training, and personal/professional development among youth.")</f>
        <v>The organization aims to promote volunteering, training, and personal/professional development among youth.</v>
      </c>
      <c r="AL102" s="61" t="str">
        <f>IFERROR(__xludf.DUMMYFUNCTION("""COMPUTED_VALUE"""),"Academic Research, Writing, Human Resources Management")</f>
        <v>Academic Research, Writing, Human Resources Management</v>
      </c>
      <c r="AM102" s="61" t="str">
        <f>IFERROR(__xludf.DUMMYFUNCTION("""COMPUTED_VALUE"""),"Nidal_Abusweireh_CV_EN (1).docx")</f>
        <v>Nidal_Abusweireh_CV_EN (1).docx</v>
      </c>
      <c r="AN102" s="61" t="str">
        <f>IFERROR(__xludf.DUMMYFUNCTION("""COMPUTED_VALUE"""),"Yes. Growing up in Gaza, I witnessed firsthand how conflict disrupts education and opportunity for young people. This inspired me to act rather than simply hope for change. I worked with the Ministry of Education in Gaza to support students facing disrupt"&amp;"ed learning, and later volunteered with AFAD in Turkey, contributing to humanitarian relief efforts. I also founded a youth organization focused on volunteering, training, and personal development, empowering young people to become active contributors to "&amp;"their communities. These experiences taught me that meaningful global change begins with small, consistent actions at the local level.")</f>
        <v>Yes. Growing up in Gaza, I witnessed firsthand how conflict disrupts education and opportunity for young people. This inspired me to act rather than simply hope for change. I worked with the Ministry of Education in Gaza to support students facing disrupted learning, and later volunteered with AFAD in Turkey, contributing to humanitarian relief efforts. I also founded a youth organization focused on volunteering, training, and personal development, empowering young people to become active contributors to their communities. These experiences taught me that meaningful global change begins with small, consistent actions at the local level.</v>
      </c>
      <c r="AO102" s="61" t="str">
        <f>IFERROR(__xludf.DUMMYFUNCTION("""COMPUTED_VALUE"""),"Turkey holds significant diplomatic weight due to its unique geographic and cultural position bridging Europe, Asia, and the Middle East. As a NATO member with strong ties to both Western and Islamic worlds, Turkey plays a pivotal mediating role in region"&amp;"al conflicts, humanitarian diplomacy, and economic cooperation. Its active engagement in organizations like AFAD demonstrates leadership in humanitarian diplomacy, while its foreign policy consistently balances competing global interests. Having lived and"&amp;" studied in Turkey, I have observed how its diplomatic strategy combines soft power, economic partnerships, and cultural diplomacy to maintain influence across multiple regions simultaneously.")</f>
        <v>Turkey holds significant diplomatic weight due to its unique geographic and cultural position bridging Europe, Asia, and the Middle East. As a NATO member with strong ties to both Western and Islamic worlds, Turkey plays a pivotal mediating role in regional conflicts, humanitarian diplomacy, and economic cooperation. Its active engagement in organizations like AFAD demonstrates leadership in humanitarian diplomacy, while its foreign policy consistently balances competing global interests. Having lived and studied in Turkey, I have observed how its diplomatic strategy combines soft power, economic partnerships, and cultural diplomacy to maintain influence across multiple regions simultaneously.</v>
      </c>
      <c r="AP102" s="61" t="str">
        <f>IFERROR(__xludf.DUMMYFUNCTION("""COMPUTED_VALUE"""),"""Youth are not merely future diplomats—they are present-day agents of change. In an interconnected world, young people communicate across cultures through social media, education exchanges, and grassroots initiatives, often reaching audiences traditional"&amp;" diplomacy cannot. Youth bring authenticity, innovation, and lived experience to diplomatic conversations, making them powerful ambassadors for cross-cultural understanding.
Public Diplomacy resonates deeply with my personal journey. Through my published "&amp;"articles on platforms like Ureed and Ultra Sawt, I have engaged public audiences on social and educational issues, effectively practicing a form of public diplomacy through writing. My volunteer work with AFAD in Turkey and the Ministry of Education in Ga"&amp;"za also reflects public diplomacy in action—building trust and cooperation between communities and institutions during humanitarian crises.
As a PhD candidate in Business Administration, I approach Public Diplomacy strategically: it is not only about gove"&amp;"rnment-to-government relations, but about empowering individuals and organizations to represent their societies authentically. I believe youth-led public diplomacy—through storytelling, research, and community engagement—can bridge divides that formal dip"&amp;"lomacy sometimes cannot reach.")</f>
        <v>"Youth are not merely future diplomats—they are present-day agents of change. In an interconnected world, young people communicate across cultures through social media, education exchanges, and grassroots initiatives, often reaching audiences traditional diplomacy cannot. Youth bring authenticity, innovation, and lived experience to diplomatic conversations, making them powerful ambassadors for cross-cultural understanding.
Public Diplomacy resonates deeply with my personal journey. Through my published articles on platforms like Ureed and Ultra Sawt, I have engaged public audiences on social and educational issues, effectively practicing a form of public diplomacy through writing. My volunteer work with AFAD in Turkey and the Ministry of Education in Gaza also reflects public diplomacy in action—building trust and cooperation between communities and institutions during humanitarian crises.
As a PhD candidate in Business Administration, I approach Public Diplomacy strategically: it is not only about government-to-government relations, but about empowering individuals and organizations to represent their societies authentically. I believe youth-led public diplomacy—through storytelling, research, and community engagement—can bridge divides that formal diplomacy sometimes cannot reach.</v>
      </c>
      <c r="AQ102" s="61" t="str">
        <f>IFERROR(__xludf.DUMMYFUNCTION("""COMPUTED_VALUE"""),"Passion is the internal drive that sustains commitment when circumstances become difficult. It transforms obligation into purpose, allowing individuals to persist beyond ordinary motivation. For me, passion is rooted in a genuine belief that education, re"&amp;"search, and community service can create lasting change.
This passion has directly shaped my achievements. It motivated me to pursue a PhD in Business Administration while working full-time as a Human Resources Manager, to publish academic research despit"&amp;"e competing demands, and to found a youth organization dedicated to volunteering and development. Passion also fueled my humanitarian work with AFAD and my educational efforts in Gaza, even amid challenging circumstances.
Ultimately, passion converts long"&amp;"-term goals into daily actions. It provides the resilience needed to overcome obstacles and the clarity needed to stay focused on meaningful impact, rather than immediate convenience.")</f>
        <v>Passion is the internal drive that sustains commitment when circumstances become difficult. It transforms obligation into purpose, allowing individuals to persist beyond ordinary motivation. For me, passion is rooted in a genuine belief that education, research, and community service can create lasting change.
This passion has directly shaped my achievements. It motivated me to pursue a PhD in Business Administration while working full-time as a Human Resources Manager, to publish academic research despite competing demands, and to found a youth organization dedicated to volunteering and development. Passion also fueled my humanitarian work with AFAD and my educational efforts in Gaza, even amid challenging circumstances.
Ultimately, passion converts long-term goals into daily actions. It provides the resilience needed to overcome obstacles and the clarity needed to stay focused on meaningful impact, rather than immediate convenience.</v>
      </c>
      <c r="AR102" s="61" t="str">
        <f>IFERROR(__xludf.DUMMYFUNCTION("""COMPUTED_VALUE"""),"Yes, I consider myself a creative thinker, particularly in how I approach problem-solving and communication. My creativity manifests through writing—publishing articles on social and educational topics for platforms like Ureed and Ultra Sawt—as well as th"&amp;"rough organizational innovation, such as founding a youth-focused organization built around volunteering, training, and development.
I believe creativity is essential to effective public diplomacy because traditional diplomatic messaging often fails to re"&amp;"sonate with diverse, modern audiences. An effective public diplomacy strategy must combine authentic storytelling, digital engagement, and culturally sensitive messaging to build genuine connections rather than one-way communication.
Drawing on my academi"&amp;"c research background and my experience in human resources management, I would design public diplomacy initiatives that leverage data-driven insights alongside emotionally compelling narratives. For example, using published research and personal testimoni"&amp;"als to humanize complex diplomatic issues, combined with youth-led digital campaigns that adapt messaging to different cultural contexts. This blend of analytical rigor and creative storytelling can transform public diplomacy from formal government commun"&amp;"ication into relatable, impactful dialogue that genuinely shifts public perception and fosters cross-cultural understanding.")</f>
        <v>Yes, I consider myself a creative thinker, particularly in how I approach problem-solving and communication. My creativity manifests through writing—publishing articles on social and educational topics for platforms like Ureed and Ultra Sawt—as well as through organizational innovation, such as founding a youth-focused organization built around volunteering, training, and development.
I believe creativity is essential to effective public diplomacy because traditional diplomatic messaging often fails to resonate with diverse, modern audiences. An effective public diplomacy strategy must combine authentic storytelling, digital engagement, and culturally sensitive messaging to build genuine connections rather than one-way communication.
Drawing on my academic research background and my experience in human resources management, I would design public diplomacy initiatives that leverage data-driven insights alongside emotionally compelling narratives. For example, using published research and personal testimonials to humanize complex diplomatic issues, combined with youth-led digital campaigns that adapt messaging to different cultural contexts. This blend of analytical rigor and creative storytelling can transform public diplomacy from formal government communication into relatable, impactful dialogue that genuinely shifts public perception and fosters cross-cultural understanding.</v>
      </c>
      <c r="AS102" s="61" t="str">
        <f>IFERROR(__xludf.DUMMYFUNCTION("""COMPUTED_VALUE"""),"Yes")</f>
        <v>Yes</v>
      </c>
      <c r="AT102" s="61" t="str">
        <f>IFERROR(__xludf.DUMMYFUNCTION("""COMPUTED_VALUE"""),"Yes")</f>
        <v>Yes</v>
      </c>
      <c r="AU102" s="61" t="str">
        <f>IFERROR(__xludf.DUMMYFUNCTION("""COMPUTED_VALUE"""),"Global Politics, Diplomacy &amp; Identities")</f>
        <v>Global Politics, Diplomacy &amp; Identities</v>
      </c>
      <c r="AV102" s="61" t="str">
        <f>IFERROR(__xludf.DUMMYFUNCTION("""COMPUTED_VALUE"""),"I received an invitation to register from a youth organization.")</f>
        <v>I received an invitation to register from a youth organization.</v>
      </c>
      <c r="AW102" s="61" t="str">
        <f>IFERROR(__xludf.DUMMYFUNCTION("""COMPUTED_VALUE"""),"Global Politics, Diplomacy &amp; Identities")</f>
        <v>Global Politics, Diplomacy &amp; Identities</v>
      </c>
      <c r="AX102" s="66" t="str">
        <f>IFERROR(__xludf.DUMMYFUNCTION("""COMPUTED_VALUE"""),"Yes")</f>
        <v>Yes</v>
      </c>
      <c r="AY102" s="66">
        <f>IFERROR(__xludf.DUMMYFUNCTION("""COMPUTED_VALUE"""),15.99)</f>
        <v>15.99</v>
      </c>
      <c r="AZ102" s="61"/>
      <c r="BA102" s="61"/>
      <c r="BB102" s="61"/>
      <c r="BC102" s="61"/>
      <c r="BD102" s="61"/>
      <c r="BE102" s="61"/>
      <c r="BF102" s="61"/>
      <c r="BG102" s="61"/>
      <c r="BH102" s="61"/>
      <c r="BI102" s="61"/>
      <c r="BJ102" s="61"/>
      <c r="BK102" s="61"/>
      <c r="BL102" s="61"/>
      <c r="BM102" s="61"/>
      <c r="BN102" s="61"/>
      <c r="BO102" s="61"/>
      <c r="BP102" s="61"/>
      <c r="BQ102" s="61"/>
      <c r="BR102" s="61"/>
    </row>
    <row r="103" ht="15.75" customHeight="1">
      <c r="A103" s="61" t="str">
        <f>IFERROR(__xludf.DUMMYFUNCTION("""COMPUTED_VALUE"""),"")</f>
        <v/>
      </c>
      <c r="B103" s="62">
        <f>IFERROR(__xludf.DUMMYFUNCTION("""COMPUTED_VALUE"""),124.0)</f>
        <v>124</v>
      </c>
      <c r="C103" s="61" t="str">
        <f>IFERROR(__xludf.DUMMYFUNCTION("""COMPUTED_VALUE"""),"Self")</f>
        <v>Self</v>
      </c>
      <c r="D103" s="63" t="str">
        <f>IFERROR(__xludf.DUMMYFUNCTION("""COMPUTED_VALUE"""),"Submitted")</f>
        <v>Submitted</v>
      </c>
      <c r="E103" s="63">
        <f>IFERROR(__xludf.DUMMYFUNCTION("""COMPUTED_VALUE"""),46208.67708333334)</f>
        <v>46208.67708</v>
      </c>
      <c r="F103" s="61" t="str">
        <f>IFERROR(__xludf.DUMMYFUNCTION("""COMPUTED_VALUE"""),"Anastasia Qarawani")</f>
        <v>Anastasia Qarawani</v>
      </c>
      <c r="G103" s="61" t="str">
        <f>IFERROR(__xludf.DUMMYFUNCTION("""COMPUTED_VALUE"""),"Anastasia Maher Qarawani")</f>
        <v>Anastasia Maher Qarawani</v>
      </c>
      <c r="H103" s="61" t="str">
        <f>IFERROR(__xludf.DUMMYFUNCTION("""COMPUTED_VALUE"""),"anna.qarawani@gmail.com")</f>
        <v>anna.qarawani@gmail.com</v>
      </c>
      <c r="I103" s="61" t="str">
        <f>IFERROR(__xludf.DUMMYFUNCTION("""COMPUTED_VALUE"""),"anastasia.qarawani@asp.ps")</f>
        <v>anastasia.qarawani@asp.ps</v>
      </c>
      <c r="J103" s="61" t="str">
        <f>IFERROR(__xludf.DUMMYFUNCTION("""COMPUTED_VALUE"""),"Surda, Main Street, Next to National Library, Ramallah West Bank, Ramallah, Palestinian territories")</f>
        <v>Surda, Main Street, Next to National Library, Ramallah West Bank, Ramallah, Palestinian territories</v>
      </c>
      <c r="K103" s="61" t="str">
        <f>IFERROR(__xludf.DUMMYFUNCTION("""COMPUTED_VALUE"""),"Palestinian")</f>
        <v>Palestinian</v>
      </c>
      <c r="L103" s="64" t="str">
        <f>IFERROR(__xludf.DUMMYFUNCTION("""COMPUTED_VALUE"""),"+972597494061")</f>
        <v>+972597494061</v>
      </c>
      <c r="M103" s="64">
        <f>IFERROR(__xludf.DUMMYFUNCTION("""COMPUTED_VALUE"""),32473.0)</f>
        <v>32473</v>
      </c>
      <c r="N103" s="61" t="str">
        <f>IFERROR(__xludf.DUMMYFUNCTION("""COMPUTED_VALUE"""),"10530529")</f>
        <v>10530529</v>
      </c>
      <c r="O103" s="61" t="str">
        <f>IFERROR(__xludf.DUMMYFUNCTION("""COMPUTED_VALUE"""),"+972598460307")</f>
        <v>+972598460307</v>
      </c>
      <c r="P103" s="61"/>
      <c r="Q103" s="65" t="str">
        <f>IFERROR(__xludf.DUMMYFUNCTION("""COMPUTED_VALUE"""),"https://www.instagram.com/anna_qarawani/")</f>
        <v>https://www.instagram.com/anna_qarawani/</v>
      </c>
      <c r="R103" s="61"/>
      <c r="S103" s="61" t="str">
        <f>IFERROR(__xludf.DUMMYFUNCTION("""COMPUTED_VALUE"""),"Passport (1) (1).pdf")</f>
        <v>Passport (1) (1).pdf</v>
      </c>
      <c r="T103" s="61" t="str">
        <f>IFERROR(__xludf.DUMMYFUNCTION("""COMPUTED_VALUE"""),"Anastasia Qarawani.jpeg")</f>
        <v>Anastasia Qarawani.jpeg</v>
      </c>
      <c r="U103" s="61" t="str">
        <f>IFERROR(__xludf.DUMMYFUNCTION("""COMPUTED_VALUE"""),"Master's Degree")</f>
        <v>Master's Degree</v>
      </c>
      <c r="V103" s="61" t="str">
        <f>IFERROR(__xludf.DUMMYFUNCTION("""COMPUTED_VALUE"""),"MA")</f>
        <v>MA</v>
      </c>
      <c r="W103" s="61" t="str">
        <f>IFERROR(__xludf.DUMMYFUNCTION("""COMPUTED_VALUE"""),"Intercultural Communication and Literature")</f>
        <v>Intercultural Communication and Literature</v>
      </c>
      <c r="X103" s="61" t="str">
        <f>IFERROR(__xludf.DUMMYFUNCTION("""COMPUTED_VALUE"""),"Arab American University - Palestine")</f>
        <v>Arab American University - Palestine</v>
      </c>
      <c r="Y103" s="61" t="str">
        <f>IFERROR(__xludf.DUMMYFUNCTION("""COMPUTED_VALUE"""),"No")</f>
        <v>No</v>
      </c>
      <c r="Z103" s="61" t="str">
        <f>IFERROR(__xludf.DUMMYFUNCTION("""COMPUTED_VALUE"""),"Palestine")</f>
        <v>Palestine</v>
      </c>
      <c r="AA103" s="61" t="str">
        <f>IFERROR(__xludf.DUMMYFUNCTION("""COMPUTED_VALUE"""),"No")</f>
        <v>No</v>
      </c>
      <c r="AB103" s="61"/>
      <c r="AC103" s="61" t="str">
        <f>IFERROR(__xludf.DUMMYFUNCTION("""COMPUTED_VALUE"""),"Yes")</f>
        <v>Yes</v>
      </c>
      <c r="AD103" s="61" t="str">
        <f>IFERROR(__xludf.DUMMYFUNCTION("""COMPUTED_VALUE"""),"No")</f>
        <v>No</v>
      </c>
      <c r="AE103" s="61"/>
      <c r="AF103" s="61"/>
      <c r="AG103" s="61"/>
      <c r="AH103" s="61" t="str">
        <f>IFERROR(__xludf.DUMMYFUNCTION("""COMPUTED_VALUE"""),"Yes")</f>
        <v>Yes</v>
      </c>
      <c r="AI103" s="61" t="str">
        <f>IFERROR(__xludf.DUMMYFUNCTION("""COMPUTED_VALUE"""),"High school teacher and freelance writer")</f>
        <v>High school teacher and freelance writer</v>
      </c>
      <c r="AJ103" s="61"/>
      <c r="AK103" s="61"/>
      <c r="AL103" s="61" t="str">
        <f>IFERROR(__xludf.DUMMYFUNCTION("""COMPUTED_VALUE"""),"Writer")</f>
        <v>Writer</v>
      </c>
      <c r="AM103" s="61" t="str">
        <f>IFERROR(__xludf.DUMMYFUNCTION("""COMPUTED_VALUE"""),"CV Anastasia Qarawani.pdf")</f>
        <v>CV Anastasia Qarawani.pdf</v>
      </c>
      <c r="AN103" s="61" t="str">
        <f>IFERROR(__xludf.DUMMYFUNCTION("""COMPUTED_VALUE"""),"Yes, I have always believed that changing the world begins with changing a child's inner world. As a Palestinian author, I write bilingual children's books that address difficult themes like loss and resilience, because children deserve honest stories rat"&amp;"her than silence. My book Kozi was translated into four languages, carrying Palestinian voices across borders. As an educator, I design curricula that teach students to think critically about their world, and I create podcast content that reaches families"&amp;" beyond the classroom. My impact grows quietly, one story and one child at a time.")</f>
        <v>Yes, I have always believed that changing the world begins with changing a child's inner world. As a Palestinian author, I write bilingual children's books that address difficult themes like loss and resilience, because children deserve honest stories rather than silence. My book Kozi was translated into four languages, carrying Palestinian voices across borders. As an educator, I design curricula that teach students to think critically about their world, and I create podcast content that reaches families beyond the classroom. My impact grows quietly, one story and one child at a time.</v>
      </c>
      <c r="AO103" s="61" t="str">
        <f>IFERROR(__xludf.DUMMYFUNCTION("""COMPUTED_VALUE"""),"I believe Slovenia has a significant diplomatic experience worth reflecting on. Its democratic tradition is deeply rooted, reaching back to the civic movements and political programmes of the nineteenth century. In 1991, this small nation achieved indepen"&amp;"dence in a remarkably smooth way, built a stable democracy, and earned membership in the European Union. With no history of colonialism or aggression, its voice carries rare moral weight. In 2024, Slovenia recognized the State of Palestine and continued s"&amp;"upporting UNRWA when others withdrew. Slovenia proves that principled diplomacy, consistency, and respect for international law can matter more than size or power.")</f>
        <v>I believe Slovenia has a significant diplomatic experience worth reflecting on. Its democratic tradition is deeply rooted, reaching back to the civic movements and political programmes of the nineteenth century. In 1991, this small nation achieved independence in a remarkably smooth way, built a stable democracy, and earned membership in the European Union. With no history of colonialism or aggression, its voice carries rare moral weight. In 2024, Slovenia recognized the State of Palestine and continued supporting UNRWA when others withdrew. Slovenia proves that principled diplomacy, consistency, and respect for international law can matter more than size or power.</v>
      </c>
      <c r="AP103" s="61" t="str">
        <f>IFERROR(__xludf.DUMMYFUNCTION("""COMPUTED_VALUE"""),"Youth's role in diplomacy is often reduced to symbolic participation, a seat at a conference or a photo at a summit. I see it differently. Young people shape diplomacy structurally, because they are the primary producers and consumers of the narratives th"&amp;"at now drive international opinion. Foreign policy today is contested on platforms where youth set the tone, faster than any foreign ministry can respond. A state that ignores this loses the argument before it begins.
This is why public diplomacy interest"&amp;"s me as a field of practice, not a slogan. My understanding of it comes from working with narrative under constraint. As a Palestinian writer, I know that my people's story is usually told by others, filtered through crisis coverage. My children's books, "&amp;"one translated into four languages, are my attempt to reclaim part of that narrative through literature rather than argument, addressing readers who may never meet a Palestinian.
Public diplomacy, to me, is the long work of building credibility: through c"&amp;"ulture, education, and honest self-representation, not propaganda.")</f>
        <v>Youth's role in diplomacy is often reduced to symbolic participation, a seat at a conference or a photo at a summit. I see it differently. Young people shape diplomacy structurally, because they are the primary producers and consumers of the narratives that now drive international opinion. Foreign policy today is contested on platforms where youth set the tone, faster than any foreign ministry can respond. A state that ignores this loses the argument before it begins.
This is why public diplomacy interests me as a field of practice, not a slogan. My understanding of it comes from working with narrative under constraint. As a Palestinian writer, I know that my people's story is usually told by others, filtered through crisis coverage. My children's books, one translated into four languages, are my attempt to reclaim part of that narrative through literature rather than argument, addressing readers who may never meet a Palestinian.
Public diplomacy, to me, is the long work of building credibility: through culture, education, and honest self-representation, not propaganda.</v>
      </c>
      <c r="AQ103" s="61" t="str">
        <f>IFERROR(__xludf.DUMMYFUNCTION("""COMPUTED_VALUE"""),"For me, passion is the mysterious call that accompanies a person from early childhood. It is the secret companion, a translucent friend, that manifests in various forms. Sometimes as a voice, sometimes as a feeling. It comes at night as a dream, or during"&amp;" the day as a mysterious feeling of nostalgia for something unexplainable. Passion is the spirit that holds your faith in humanity. Passion is what makes you different from machines no matter how intelligent they'll become. Passion is what makes you human"&amp;", and thus without it, people fall into the abyss.  If you have passion you will find goals, the tools to make them come true, and the energy to keep going.")</f>
        <v>For me, passion is the mysterious call that accompanies a person from early childhood. It is the secret companion, a translucent friend, that manifests in various forms. Sometimes as a voice, sometimes as a feeling. It comes at night as a dream, or during the day as a mysterious feeling of nostalgia for something unexplainable. Passion is the spirit that holds your faith in humanity. Passion is what makes you different from machines no matter how intelligent they'll become. Passion is what makes you human, and thus without it, people fall into the abyss.  If you have passion you will find goals, the tools to make them come true, and the energy to keep going.</v>
      </c>
      <c r="AR103" s="61" t="str">
        <f>IFERROR(__xludf.DUMMYFUNCTION("""COMPUTED_VALUE"""),"I think I am a creative person. I am a writer, and creating stories and books is my breathing in this world. It all started as a magical gift when I was young. A gift that brings the colorful worlds in my head alive. But then my world began expanding, and"&amp;" I discovered the multiple realities of life. Humanity – limitless ingenuity, unbearable fragility, and unspeakable cruelty all at once. Creativity can be a double-edged sword. It invents possibilities of all kinds – dark or bright. As I grew up, I realiz"&amp;"ed that our gifts are nothing but doors of possibilities that we can create. For me, books are no longer magical stories, but powerful narratives that can transform minds and thus realities.")</f>
        <v>I think I am a creative person. I am a writer, and creating stories and books is my breathing in this world. It all started as a magical gift when I was young. A gift that brings the colorful worlds in my head alive. But then my world began expanding, and I discovered the multiple realities of life. Humanity – limitless ingenuity, unbearable fragility, and unspeakable cruelty all at once. Creativity can be a double-edged sword. It invents possibilities of all kinds – dark or bright. As I grew up, I realized that our gifts are nothing but doors of possibilities that we can create. For me, books are no longer magical stories, but powerful narratives that can transform minds and thus realities.</v>
      </c>
      <c r="AS103" s="61" t="str">
        <f>IFERROR(__xludf.DUMMYFUNCTION("""COMPUTED_VALUE"""),"Yes")</f>
        <v>Yes</v>
      </c>
      <c r="AT103" s="61" t="str">
        <f>IFERROR(__xludf.DUMMYFUNCTION("""COMPUTED_VALUE"""),"Yes")</f>
        <v>Yes</v>
      </c>
      <c r="AU103" s="61" t="str">
        <f>IFERROR(__xludf.DUMMYFUNCTION("""COMPUTED_VALUE"""),"Arts, Culture &amp; Soft Power")</f>
        <v>Arts, Culture &amp; Soft Power</v>
      </c>
      <c r="AV103" s="61" t="str">
        <f>IFERROR(__xludf.DUMMYFUNCTION("""COMPUTED_VALUE"""),"Social Media")</f>
        <v>Social Media</v>
      </c>
      <c r="AW103" s="61" t="str">
        <f>IFERROR(__xludf.DUMMYFUNCTION("""COMPUTED_VALUE"""),"Soft, Smart, and Hard Power and Strategic Communication")</f>
        <v>Soft, Smart, and Hard Power and Strategic Communication</v>
      </c>
      <c r="AX103" s="66" t="str">
        <f>IFERROR(__xludf.DUMMYFUNCTION("""COMPUTED_VALUE"""),"Yes")</f>
        <v>Yes</v>
      </c>
      <c r="AY103" s="66">
        <f>IFERROR(__xludf.DUMMYFUNCTION("""COMPUTED_VALUE"""),15.99)</f>
        <v>15.99</v>
      </c>
      <c r="AZ103" s="61"/>
      <c r="BA103" s="61"/>
      <c r="BB103" s="61"/>
      <c r="BC103" s="61"/>
      <c r="BD103" s="61"/>
      <c r="BE103" s="61"/>
      <c r="BF103" s="61"/>
      <c r="BG103" s="61"/>
      <c r="BH103" s="61"/>
      <c r="BI103" s="61"/>
      <c r="BJ103" s="61"/>
      <c r="BK103" s="61"/>
      <c r="BL103" s="61"/>
      <c r="BM103" s="61"/>
      <c r="BN103" s="61"/>
      <c r="BO103" s="61"/>
      <c r="BP103" s="61"/>
      <c r="BQ103" s="61"/>
      <c r="BR103" s="61"/>
    </row>
    <row r="104" ht="15.75" customHeight="1">
      <c r="A104" s="61" t="str">
        <f>IFERROR(__xludf.DUMMYFUNCTION("""COMPUTED_VALUE"""),"")</f>
        <v/>
      </c>
      <c r="B104" s="62">
        <f>IFERROR(__xludf.DUMMYFUNCTION("""COMPUTED_VALUE"""),125.0)</f>
        <v>125</v>
      </c>
      <c r="C104" s="61" t="str">
        <f>IFERROR(__xludf.DUMMYFUNCTION("""COMPUTED_VALUE"""),"Self")</f>
        <v>Self</v>
      </c>
      <c r="D104" s="63" t="str">
        <f>IFERROR(__xludf.DUMMYFUNCTION("""COMPUTED_VALUE"""),"Submitted")</f>
        <v>Submitted</v>
      </c>
      <c r="E104" s="63">
        <f>IFERROR(__xludf.DUMMYFUNCTION("""COMPUTED_VALUE"""),46208.68333333333)</f>
        <v>46208.68333</v>
      </c>
      <c r="F104" s="61" t="str">
        <f>IFERROR(__xludf.DUMMYFUNCTION("""COMPUTED_VALUE"""),"Muhammed Salahoğlu")</f>
        <v>Muhammed Salahoğlu</v>
      </c>
      <c r="G104" s="61" t="str">
        <f>IFERROR(__xludf.DUMMYFUNCTION("""COMPUTED_VALUE"""),"Muhammed Salahoğlu")</f>
        <v>Muhammed Salahoğlu</v>
      </c>
      <c r="H104" s="61" t="str">
        <f>IFERROR(__xludf.DUMMYFUNCTION("""COMPUTED_VALUE"""),"omar6didi6@gmail.com")</f>
        <v>omar6didi6@gmail.com</v>
      </c>
      <c r="I104" s="61" t="str">
        <f>IFERROR(__xludf.DUMMYFUNCTION("""COMPUTED_VALUE"""),"omar6didi6@gmail.com")</f>
        <v>omar6didi6@gmail.com</v>
      </c>
      <c r="J104" s="61" t="str">
        <f>IFERROR(__xludf.DUMMYFUNCTION("""COMPUTED_VALUE"""),"istanbul, Kocasinan Merkez, Ordu Cd. No:15, 34186 Bahçelievler/İstanbul, istanbul, Türkiye")</f>
        <v>istanbul, Kocasinan Merkez, Ordu Cd. No:15, 34186 Bahçelievler/İstanbul, istanbul, Türkiye</v>
      </c>
      <c r="K104" s="61" t="str">
        <f>IFERROR(__xludf.DUMMYFUNCTION("""COMPUTED_VALUE"""),"palestinian and turky")</f>
        <v>palestinian and turky</v>
      </c>
      <c r="L104" s="64" t="str">
        <f>IFERROR(__xludf.DUMMYFUNCTION("""COMPUTED_VALUE"""),"+905304414837")</f>
        <v>+905304414837</v>
      </c>
      <c r="M104" s="64">
        <f>IFERROR(__xludf.DUMMYFUNCTION("""COMPUTED_VALUE"""),38994.0)</f>
        <v>38994</v>
      </c>
      <c r="N104" s="61" t="str">
        <f>IFERROR(__xludf.DUMMYFUNCTION("""COMPUTED_VALUE"""),"U33450340")</f>
        <v>U33450340</v>
      </c>
      <c r="O104" s="61" t="str">
        <f>IFERROR(__xludf.DUMMYFUNCTION("""COMPUTED_VALUE"""),"+905013449311")</f>
        <v>+905013449311</v>
      </c>
      <c r="P104" s="61"/>
      <c r="Q104" s="65" t="str">
        <f>IFERROR(__xludf.DUMMYFUNCTION("""COMPUTED_VALUE"""),"https://www.instagram.com/shallah.12?igsh=N3ZpdGF5OWxjejY4")</f>
        <v>https://www.instagram.com/shallah.12?igsh=N3ZpdGF5OWxjejY4</v>
      </c>
      <c r="R104" s="61"/>
      <c r="S104" s="61" t="str">
        <f>IFERROR(__xludf.DUMMYFUNCTION("""COMPUTED_VALUE"""),"WhatsApp Image 2026-07-05 at 13.35.49.jpeg")</f>
        <v>WhatsApp Image 2026-07-05 at 13.35.49.jpeg</v>
      </c>
      <c r="T104" s="61" t="str">
        <f>IFERROR(__xludf.DUMMYFUNCTION("""COMPUTED_VALUE"""),"WhatsApp Image 2026-07-05 at 13.42.34.jpeg")</f>
        <v>WhatsApp Image 2026-07-05 at 13.42.34.jpeg</v>
      </c>
      <c r="U104" s="61" t="str">
        <f>IFERROR(__xludf.DUMMYFUNCTION("""COMPUTED_VALUE"""),"Bechelor")</f>
        <v>Bechelor</v>
      </c>
      <c r="V104" s="61" t="str">
        <f>IFERROR(__xludf.DUMMYFUNCTION("""COMPUTED_VALUE"""),"Bechelor of Trade")</f>
        <v>Bechelor of Trade</v>
      </c>
      <c r="W104" s="61" t="str">
        <f>IFERROR(__xludf.DUMMYFUNCTION("""COMPUTED_VALUE"""),"Bechelor of Trade")</f>
        <v>Bechelor of Trade</v>
      </c>
      <c r="X104" s="61" t="str">
        <f>IFERROR(__xludf.DUMMYFUNCTION("""COMPUTED_VALUE"""),"Istanbul Zaim University")</f>
        <v>Istanbul Zaim University</v>
      </c>
      <c r="Y104" s="61" t="str">
        <f>IFERROR(__xludf.DUMMYFUNCTION("""COMPUTED_VALUE"""),"Yes")</f>
        <v>Yes</v>
      </c>
      <c r="Z104" s="61" t="str">
        <f>IFERROR(__xludf.DUMMYFUNCTION("""COMPUTED_VALUE"""),"Turkiye")</f>
        <v>Turkiye</v>
      </c>
      <c r="AA104" s="61" t="str">
        <f>IFERROR(__xludf.DUMMYFUNCTION("""COMPUTED_VALUE"""),"No")</f>
        <v>No</v>
      </c>
      <c r="AB104" s="61"/>
      <c r="AC104" s="61" t="str">
        <f>IFERROR(__xludf.DUMMYFUNCTION("""COMPUTED_VALUE"""),"A simple knowledge")</f>
        <v>A simple knowledge</v>
      </c>
      <c r="AD104" s="61" t="str">
        <f>IFERROR(__xludf.DUMMYFUNCTION("""COMPUTED_VALUE"""),"yes Yes, with the Palestine Students Association (fidern)")</f>
        <v>yes Yes, with the Palestine Students Association (fidern)</v>
      </c>
      <c r="AE104" s="65" t="str">
        <f>IFERROR(__xludf.DUMMYFUNCTION("""COMPUTED_VALUE"""),"https://fodern.org/")</f>
        <v>https://fodern.org/</v>
      </c>
      <c r="AF104" s="61" t="str">
        <f>IFERROR(__xludf.DUMMYFUNCTION("""COMPUTED_VALUE"""),"Volunteer member")</f>
        <v>Volunteer member</v>
      </c>
      <c r="AG104" s="61" t="str">
        <f>IFERROR(__xludf.DUMMYFUNCTION("""COMPUTED_VALUE"""),"2 Years")</f>
        <v>2 Years</v>
      </c>
      <c r="AH104" s="61" t="str">
        <f>IFERROR(__xludf.DUMMYFUNCTION("""COMPUTED_VALUE"""),"No")</f>
        <v>No</v>
      </c>
      <c r="AI104" s="61"/>
      <c r="AJ104" s="61" t="str">
        <f>IFERROR(__xludf.DUMMYFUNCTION("""COMPUTED_VALUE"""),"no")</f>
        <v>no</v>
      </c>
      <c r="AK104" s="61"/>
      <c r="AL104" s="61" t="str">
        <f>IFERROR(__xludf.DUMMYFUNCTION("""COMPUTED_VALUE"""),"Graphic design, working with computers, and content creation")</f>
        <v>Graphic design, working with computers, and content creation</v>
      </c>
      <c r="AM104" s="61" t="str">
        <f>IFERROR(__xludf.DUMMYFUNCTION("""COMPUTED_VALUE"""),"Muhammed_CV_Same_Template.docx")</f>
        <v>Muhammed_CV_Same_Template.docx</v>
      </c>
      <c r="AN104" s="61" t="str">
        <f>IFERROR(__xludf.DUMMYFUNCTION("""COMPUTED_VALUE"""),"Yes, I have. I believe that changing the world begins with making a positive impact on the people around us. As a volunteer with the Palestinian Students Association (FODERN), I contributed to organizing university events that strengthened student engagem"&amp;"ent and promoted cultural awareness. I also supported the association by creating graphic designs, managing event activities, writing content for our website, and documenting events through photography.
Beyond my volunteer work, I always try to encourage"&amp;" teamwork, support new students, and create an inclusive environment where everyone feels welcome. Although these actions may seem small, I believe meaningful change starts at the community level. My goal is to continue developing my leadership skills and"&amp;" use international opportunities, such as this conference, to learn from others, share my experiences, and contribute to solutions that create a more connected and understanding world.")</f>
        <v>Yes, I have. I believe that changing the world begins with making a positive impact on the people around us. As a volunteer with the Palestinian Students Association (FODERN), I contributed to organizing university events that strengthened student engagement and promoted cultural awareness. I also supported the association by creating graphic designs, managing event activities, writing content for our website, and documenting events through photography.
Beyond my volunteer work, I always try to encourage teamwork, support new students, and create an inclusive environment where everyone feels welcome. Although these actions may seem small, I believe meaningful change starts at the community level. My goal is to continue developing my leadership skills and use international opportunities, such as this conference, to learn from others, share my experiences, and contribute to solutions that create a more connected and understanding world.</v>
      </c>
      <c r="AO104" s="61" t="str">
        <f>IFERROR(__xludf.DUMMYFUNCTION("""COMPUTED_VALUE"""),"In my opinion, Switzerland is one of the most diplomatically significant countries in the world. Despite its relatively small size, it has earned global respect through its long-standing neutrality, commitment to peace, and role as a host for many interna"&amp;"tional organizations, including the United Nations and the International Committee of the Red Cross. Switzerland has facilitated important peace negotiations and promoted dialogue between nations during times of conflict. I believe its approach proves tha"&amp;"t diplomacy is built on trust, cooperation, and mutual respect rather than power alone. This is the kind of diplomacy that inspires young leaders like me to contribute to a more peaceful world.")</f>
        <v>In my opinion, Switzerland is one of the most diplomatically significant countries in the world. Despite its relatively small size, it has earned global respect through its long-standing neutrality, commitment to peace, and role as a host for many international organizations, including the United Nations and the International Committee of the Red Cross. Switzerland has facilitated important peace negotiations and promoted dialogue between nations during times of conflict. I believe its approach proves that diplomacy is built on trust, cooperation, and mutual respect rather than power alone. This is the kind of diplomacy that inspires young leaders like me to contribute to a more peaceful world.</v>
      </c>
      <c r="AP104" s="61" t="str">
        <f>IFERROR(__xludf.DUMMYFUNCTION("""COMPUTED_VALUE"""),"Youth play a vital role in diplomacy because they bring fresh ideas, creativity, and a strong commitment to solving global challenges. As the next generation of leaders, young people have the ability to promote dialogue, build bridges between cultures, an"&amp;"d encourage cooperation across borders. Through education, volunteer work, and international exchanges, youth can help create more peaceful and inclusive societies.
I strongly relate to the idea of Public Diplomacy because I believe that diplomacy is not"&amp;" limited to governments and diplomats. Every individual has the power to represent their community and country through their actions, values, and communication. As a student of International Trade and an active volunteer with the Palestinian Students Asso"&amp;"ciation (FODERN), I have participated in organizing cultural and educational events that brought students from different backgrounds together. I also contributed through graphic design, photography, and content writing to promote engagement and mutual und"&amp;"erstanding within our university community.
For me, public diplomacy is about creating meaningful connections, challenging stereotypes, and encouraging respectful dialogue. By participating in international conferences, I hope to exchange ideas, learn fr"&amp;"om diverse perspectives, and share my own experiences. I believe that when young people collaborate across cultures with respect and openness, they become powerful ambassadors for peace, understanding, and sustainable global cooperation")</f>
        <v>Youth play a vital role in diplomacy because they bring fresh ideas, creativity, and a strong commitment to solving global challenges. As the next generation of leaders, young people have the ability to promote dialogue, build bridges between cultures, and encourage cooperation across borders. Through education, volunteer work, and international exchanges, youth can help create more peaceful and inclusive societies.
I strongly relate to the idea of Public Diplomacy because I believe that diplomacy is not limited to governments and diplomats. Every individual has the power to represent their community and country through their actions, values, and communication. As a student of International Trade and an active volunteer with the Palestinian Students Association (FODERN), I have participated in organizing cultural and educational events that brought students from different backgrounds together. I also contributed through graphic design, photography, and content writing to promote engagement and mutual understanding within our university community.
For me, public diplomacy is about creating meaningful connections, challenging stereotypes, and encouraging respectful dialogue. By participating in international conferences, I hope to exchange ideas, learn from diverse perspectives, and share my own experiences. I believe that when young people collaborate across cultures with respect and openness, they become powerful ambassadors for peace, understanding, and sustainable global cooperation</v>
      </c>
      <c r="AQ104" s="61" t="str">
        <f>IFERROR(__xludf.DUMMYFUNCTION("""COMPUTED_VALUE"""),"Passion is the inner motivation that drives a person to work hard, overcome challenges, and continue learning despite difficulties. It gives purpose to our actions and inspires us to make a positive difference in the lives of others. I believe that passio"&amp;"n is not just about having a dream; it is about taking consistent steps to turn that dream into reality.
My passion lies in international cooperation, youth leadership, and community engagement. As an International Trade student and a volunteer with the "&amp;"Palestinian Students Association (FODERN), I have actively contributed to organizing events, creating graphic designs, writing content, and supporting activities that bring students together. These experiences have strengthened my leadership, communicatio"&amp;"n, and teamwork skills.
Passion helps me stay focused on my goals, even when I face obstacles. It encourages me to seek new learning opportunities, participate in international conferences, and connect with people from different cultures. I believe that "&amp;"with passion, dedication, and continuous growth, I can make a meaningful contribution to society and become a responsible global leader.")</f>
        <v>Passion is the inner motivation that drives a person to work hard, overcome challenges, and continue learning despite difficulties. It gives purpose to our actions and inspires us to make a positive difference in the lives of others. I believe that passion is not just about having a dream; it is about taking consistent steps to turn that dream into reality.
My passion lies in international cooperation, youth leadership, and community engagement. As an International Trade student and a volunteer with the Palestinian Students Association (FODERN), I have actively contributed to organizing events, creating graphic designs, writing content, and supporting activities that bring students together. These experiences have strengthened my leadership, communication, and teamwork skills.
Passion helps me stay focused on my goals, even when I face obstacles. It encourages me to seek new learning opportunities, participate in international conferences, and connect with people from different cultures. I believe that with passion, dedication, and continuous growth, I can make a meaningful contribution to society and become a responsible global leader.</v>
      </c>
      <c r="AR104" s="61" t="str">
        <f>IFERROR(__xludf.DUMMYFUNCTION("""COMPUTED_VALUE"""),"Yes, I consider myself a creative person because I enjoy finding innovative ways to communicate ideas and connect with people. Creativity is not only about producing art; it is also about solving problems, inspiring others, and presenting messages in ways"&amp;" that leave a lasting impact. Through my volunteer work with the Palestinian Students Association (FODERN), I have used creativity in graphic design, photography, content writing, and event organization to engage students and encourage participation in cu"&amp;"ltural and educational activities.
I believe creativity is a powerful tool for public diplomacy. In today's digital world, visual storytelling, social media campaigns, and cultural events can build understanding between people from different backgrounds "&amp;"more effectively than formal speeches alone. If given the opportunity, I would develop creative public diplomacy initiatives that highlight cultural diversity, encourage dialogue, and promote mutual respect through digital content, student exchanges, and "&amp;"community events.
An effective public diplomacy strategy should focus on authentic communication, active listening, and collaboration. By combining creativity with leadership and intercultural communication, I hope to create projects that connect people,"&amp;" challenge stereotypes, and strengthen international friendships. I believe that small creative actions, when shared with a wider audience, can inspire positive change and contribute to a more peaceful and cooperative global community.")</f>
        <v>Yes, I consider myself a creative person because I enjoy finding innovative ways to communicate ideas and connect with people. Creativity is not only about producing art; it is also about solving problems, inspiring others, and presenting messages in ways that leave a lasting impact. Through my volunteer work with the Palestinian Students Association (FODERN), I have used creativity in graphic design, photography, content writing, and event organization to engage students and encourage participation in cultural and educational activities.
I believe creativity is a powerful tool for public diplomacy. In today's digital world, visual storytelling, social media campaigns, and cultural events can build understanding between people from different backgrounds more effectively than formal speeches alone. If given the opportunity, I would develop creative public diplomacy initiatives that highlight cultural diversity, encourage dialogue, and promote mutual respect through digital content, student exchanges, and community events.
An effective public diplomacy strategy should focus on authentic communication, active listening, and collaboration. By combining creativity with leadership and intercultural communication, I hope to create projects that connect people, challenge stereotypes, and strengthen international friendships. I believe that small creative actions, when shared with a wider audience, can inspire positive change and contribute to a more peaceful and cooperative global community.</v>
      </c>
      <c r="AS104" s="61" t="str">
        <f>IFERROR(__xludf.DUMMYFUNCTION("""COMPUTED_VALUE"""),"Yes")</f>
        <v>Yes</v>
      </c>
      <c r="AT104" s="61" t="str">
        <f>IFERROR(__xludf.DUMMYFUNCTION("""COMPUTED_VALUE"""),"Yes")</f>
        <v>Yes</v>
      </c>
      <c r="AU104" s="61" t="str">
        <f>IFERROR(__xludf.DUMMYFUNCTION("""COMPUTED_VALUE"""),"Global Politics, Diplomacy &amp; Identities")</f>
        <v>Global Politics, Diplomacy &amp; Identities</v>
      </c>
      <c r="AV104" s="61" t="str">
        <f>IFERROR(__xludf.DUMMYFUNCTION("""COMPUTED_VALUE"""),"From ‎palestinian youth forum")</f>
        <v>From ‎palestinian youth forum</v>
      </c>
      <c r="AW104" s="61" t="str">
        <f>IFERROR(__xludf.DUMMYFUNCTION("""COMPUTED_VALUE"""),"Public Diplomacy")</f>
        <v>Public Diplomacy</v>
      </c>
      <c r="AX104" s="66" t="str">
        <f>IFERROR(__xludf.DUMMYFUNCTION("""COMPUTED_VALUE"""),"Yes")</f>
        <v>Yes</v>
      </c>
      <c r="AY104" s="66">
        <f>IFERROR(__xludf.DUMMYFUNCTION("""COMPUTED_VALUE"""),15.99)</f>
        <v>15.99</v>
      </c>
      <c r="AZ104" s="61"/>
      <c r="BA104" s="61"/>
      <c r="BB104" s="61"/>
      <c r="BC104" s="61"/>
      <c r="BD104" s="61"/>
      <c r="BE104" s="61"/>
      <c r="BF104" s="61"/>
      <c r="BG104" s="61"/>
      <c r="BH104" s="61"/>
      <c r="BI104" s="61"/>
      <c r="BJ104" s="61"/>
      <c r="BK104" s="61"/>
      <c r="BL104" s="61"/>
      <c r="BM104" s="61"/>
      <c r="BN104" s="61"/>
      <c r="BO104" s="61"/>
      <c r="BP104" s="61"/>
      <c r="BQ104" s="61"/>
      <c r="BR104" s="61"/>
    </row>
    <row r="105" ht="15.75" customHeight="1">
      <c r="A105" s="61" t="str">
        <f>IFERROR(__xludf.DUMMYFUNCTION("""COMPUTED_VALUE"""),"")</f>
        <v/>
      </c>
      <c r="B105" s="62">
        <f>IFERROR(__xludf.DUMMYFUNCTION("""COMPUTED_VALUE"""),126.0)</f>
        <v>126</v>
      </c>
      <c r="C105" s="61" t="str">
        <f>IFERROR(__xludf.DUMMYFUNCTION("""COMPUTED_VALUE"""),"Self")</f>
        <v>Self</v>
      </c>
      <c r="D105" s="63" t="str">
        <f>IFERROR(__xludf.DUMMYFUNCTION("""COMPUTED_VALUE"""),"Submitted")</f>
        <v>Submitted</v>
      </c>
      <c r="E105" s="63">
        <f>IFERROR(__xludf.DUMMYFUNCTION("""COMPUTED_VALUE"""),46208.69861111111)</f>
        <v>46208.69861</v>
      </c>
      <c r="F105" s="61" t="str">
        <f>IFERROR(__xludf.DUMMYFUNCTION("""COMPUTED_VALUE"""),"İZZEDDİN Alnajjar")</f>
        <v>İZZEDDİN Alnajjar</v>
      </c>
      <c r="G105" s="61" t="str">
        <f>IFERROR(__xludf.DUMMYFUNCTION("""COMPUTED_VALUE"""),"IZZEDDIN GHASSAN MUSTAFA ALNAJJAR")</f>
        <v>IZZEDDIN GHASSAN MUSTAFA ALNAJJAR</v>
      </c>
      <c r="H105" s="61" t="str">
        <f>IFERROR(__xludf.DUMMYFUNCTION("""COMPUTED_VALUE"""),"azalden2006@gmail.com")</f>
        <v>azalden2006@gmail.com</v>
      </c>
      <c r="I105" s="61" t="str">
        <f>IFERROR(__xludf.DUMMYFUNCTION("""COMPUTED_VALUE"""),"azalden2006@gmail.com")</f>
        <v>azalden2006@gmail.com</v>
      </c>
      <c r="J105" s="61" t="str">
        <f>IFERROR(__xludf.DUMMYFUNCTION("""COMPUTED_VALUE"""),"Kocaeli İzmit Turgut mahallesi cihan Sokak 54/9 ana sultan apartmanı, İzmit, Türkiye")</f>
        <v>Kocaeli İzmit Turgut mahallesi cihan Sokak 54/9 ana sultan apartmanı, İzmit, Türkiye</v>
      </c>
      <c r="K105" s="61" t="str">
        <f>IFERROR(__xludf.DUMMYFUNCTION("""COMPUTED_VALUE"""),"Palestinian")</f>
        <v>Palestinian</v>
      </c>
      <c r="L105" s="64" t="str">
        <f>IFERROR(__xludf.DUMMYFUNCTION("""COMPUTED_VALUE"""),"+905441543086")</f>
        <v>+905441543086</v>
      </c>
      <c r="M105" s="64">
        <f>IFERROR(__xludf.DUMMYFUNCTION("""COMPUTED_VALUE"""),38855.0)</f>
        <v>38855</v>
      </c>
      <c r="N105" s="61" t="str">
        <f>IFERROR(__xludf.DUMMYFUNCTION("""COMPUTED_VALUE"""),"10315042")</f>
        <v>10315042</v>
      </c>
      <c r="O105" s="61" t="str">
        <f>IFERROR(__xludf.DUMMYFUNCTION("""COMPUTED_VALUE"""),"+905441543086")</f>
        <v>+905441543086</v>
      </c>
      <c r="P105" s="61"/>
      <c r="Q105" s="65" t="str">
        <f>IFERROR(__xludf.DUMMYFUNCTION("""COMPUTED_VALUE"""),"https://www.instagram.com/azz_g_alnajjar?igsh=NGQzNzUwNmlvbDkw&amp;utm_source=qr")</f>
        <v>https://www.instagram.com/azz_g_alnajjar?igsh=NGQzNzUwNmlvbDkw&amp;utm_source=qr</v>
      </c>
      <c r="R105" s="61"/>
      <c r="S105" s="61" t="str">
        <f>IFERROR(__xludf.DUMMYFUNCTION("""COMPUTED_VALUE"""),"جواز السفر الجديد 2.pdf")</f>
        <v>جواز السفر الجديد 2.pdf</v>
      </c>
      <c r="T105" s="61" t="str">
        <f>IFERROR(__xludf.DUMMYFUNCTION("""COMPUTED_VALUE"""),"CD1E6E02-05A7-4131-84C0-67329ECB781E.jpeg")</f>
        <v>CD1E6E02-05A7-4131-84C0-67329ECB781E.jpeg</v>
      </c>
      <c r="U105" s="61" t="str">
        <f>IFERROR(__xludf.DUMMYFUNCTION("""COMPUTED_VALUE"""),"Bachelors")</f>
        <v>Bachelors</v>
      </c>
      <c r="V105" s="61" t="str">
        <f>IFERROR(__xludf.DUMMYFUNCTION("""COMPUTED_VALUE"""),"Bachelors of Management Information Systems")</f>
        <v>Bachelors of Management Information Systems</v>
      </c>
      <c r="W105" s="61" t="str">
        <f>IFERROR(__xludf.DUMMYFUNCTION("""COMPUTED_VALUE"""),"Management Information Systems")</f>
        <v>Management Information Systems</v>
      </c>
      <c r="X105" s="61" t="str">
        <f>IFERROR(__xludf.DUMMYFUNCTION("""COMPUTED_VALUE"""),"İstanbul gelişim üniversitesi")</f>
        <v>İstanbul gelişim üniversitesi</v>
      </c>
      <c r="Y105" s="61" t="str">
        <f>IFERROR(__xludf.DUMMYFUNCTION("""COMPUTED_VALUE"""),"Yes")</f>
        <v>Yes</v>
      </c>
      <c r="Z105" s="61" t="str">
        <f>IFERROR(__xludf.DUMMYFUNCTION("""COMPUTED_VALUE"""),"Turkey")</f>
        <v>Turkey</v>
      </c>
      <c r="AA105" s="61" t="str">
        <f>IFERROR(__xludf.DUMMYFUNCTION("""COMPUTED_VALUE"""),"No")</f>
        <v>No</v>
      </c>
      <c r="AB105" s="61"/>
      <c r="AC105" s="61" t="str">
        <f>IFERROR(__xludf.DUMMYFUNCTION("""COMPUTED_VALUE"""),"Yes")</f>
        <v>Yes</v>
      </c>
      <c r="AD105" s="61" t="str">
        <f>IFERROR(__xludf.DUMMYFUNCTION("""COMPUTED_VALUE"""),"Yes – Filistin Öğrencileri Derneği (FÖDERN).")</f>
        <v>Yes – Filistin Öğrencileri Derneği (FÖDERN).</v>
      </c>
      <c r="AE105" s="65" t="str">
        <f>IFERROR(__xludf.DUMMYFUNCTION("""COMPUTED_VALUE"""),"https://fodern.org/")</f>
        <v>https://fodern.org/</v>
      </c>
      <c r="AF105" s="61" t="str">
        <f>IFERROR(__xludf.DUMMYFUNCTION("""COMPUTED_VALUE"""),"Volunteer")</f>
        <v>Volunteer</v>
      </c>
      <c r="AG105" s="61" t="str">
        <f>IFERROR(__xludf.DUMMYFUNCTION("""COMPUTED_VALUE"""),"1")</f>
        <v>1</v>
      </c>
      <c r="AH105" s="61" t="str">
        <f>IFERROR(__xludf.DUMMYFUNCTION("""COMPUTED_VALUE"""),"No")</f>
        <v>No</v>
      </c>
      <c r="AI105" s="61"/>
      <c r="AJ105" s="61" t="str">
        <f>IFERROR(__xludf.DUMMYFUNCTION("""COMPUTED_VALUE"""),"No")</f>
        <v>No</v>
      </c>
      <c r="AK105" s="61"/>
      <c r="AL105" s="61" t="str">
        <f>IFERROR(__xludf.DUMMYFUNCTION("""COMPUTED_VALUE"""),"Communication skills, Teamwork, Problem-solving, Time management, Basic computer skills, Microsoft Office, Data organization, Research skills, Adaptability, Willingness to learn")</f>
        <v>Communication skills, Teamwork, Problem-solving, Time management, Basic computer skills, Microsoft Office, Data organization, Research skills, Adaptability, Willingness to learn</v>
      </c>
      <c r="AM105" s="61" t="str">
        <f>IFERROR(__xludf.DUMMYFUNCTION("""COMPUTED_VALUE"""),"Izzeddin_Alnajjar_CV.docx")</f>
        <v>Izzeddin_Alnajjar_CV.docx</v>
      </c>
      <c r="AN105" s="61" t="str">
        <f>IFERROR(__xludf.DUMMYFUNCTION("""COMPUTED_VALUE"""),"Yes, I have thought about changing the world, but I believe real change starts with small actions. As a first-year Management Information Systems student, I try to make an impact by participating in student volunteering initiatives and university meetings"&amp;", where I practice teamwork, communication, and collaboration. I also try to support my peers by sharing ideas, encouraging positive dialogue, and learning how technology and data organization can solve real problems. My goal is to keep developing myself "&amp;"so I can contribute to youth leadership, cultural exchange, and digital transformation in my community and beyond.")</f>
        <v>Yes, I have thought about changing the world, but I believe real change starts with small actions. As a first-year Management Information Systems student, I try to make an impact by participating in student volunteering initiatives and university meetings, where I practice teamwork, communication, and collaboration. I also try to support my peers by sharing ideas, encouraging positive dialogue, and learning how technology and data organization can solve real problems. My goal is to keep developing myself so I can contribute to youth leadership, cultural exchange, and digital transformation in my community and beyond.</v>
      </c>
      <c r="AO105" s="61" t="str">
        <f>IFERROR(__xludf.DUMMYFUNCTION("""COMPUTED_VALUE"""),"I believe Indonesia is a diplomatically significant country because it represents diversity, dialogue, and cooperation. It connects many cultures, religions, and communities, which makes it a strong example of peaceful coexistence. Indonesia also has an i"&amp;"mportant regional and international role, especially in promoting understanding among nations and supporting youth engagement. Hosting the Youth Public Diplomacy Summit in Jakarta reflects its ability to bring young people together to discuss global issue"&amp;"s, cultural exchange, and cooperation. For me, Indonesia is important because it shows how culture, respect, and communication can become powerful tools in diplomacy.")</f>
        <v>I believe Indonesia is a diplomatically significant country because it represents diversity, dialogue, and cooperation. It connects many cultures, religions, and communities, which makes it a strong example of peaceful coexistence. Indonesia also has an important regional and international role, especially in promoting understanding among nations and supporting youth engagement. Hosting the Youth Public Diplomacy Summit in Jakarta reflects its ability to bring young people together to discuss global issues, cultural exchange, and cooperation. For me, Indonesia is important because it shows how culture, respect, and communication can become powerful tools in diplomacy.</v>
      </c>
      <c r="AP105" s="61" t="str">
        <f>IFERROR(__xludf.DUMMYFUNCTION("""COMPUTED_VALUE"""),"Youth play an important role in diplomacy because they represent the future of communication, cooperation, and peacebuilding. Young people are more connected to technology, social media, and global conversations, which allows them to share ideas across bo"&amp;"rders and build understanding between cultures. They can also challenge stereotypes, promote tolerance, and create new solutions for social and international issues.
As a Management Information Systems student, I relate to public diplomacy through my int"&amp;"erest in technology, digital transformation, and cross-cultural communication. Public diplomacy is not only about governments; it is also about people, students, and communities building positive relationships. I believe youth can support public diplomacy"&amp;" by participating in international programs, student events, volunteering, and online dialogue.
For me, public diplomacy means representing my background positively, listening to others, and learning from different cultures. My student experience has tau"&amp;"ght me that teamwork, research, and respectful communication can create trust between people. Through this summit, I hope to learn from young leaders, share my perspective, and become more active in global youth cooperation while contributing to a more re"&amp;"spectful and connected world.")</f>
        <v>Youth play an important role in diplomacy because they represent the future of communication, cooperation, and peacebuilding. Young people are more connected to technology, social media, and global conversations, which allows them to share ideas across borders and build understanding between cultures. They can also challenge stereotypes, promote tolerance, and create new solutions for social and international issues.
As a Management Information Systems student, I relate to public diplomacy through my interest in technology, digital transformation, and cross-cultural communication. Public diplomacy is not only about governments; it is also about people, students, and communities building positive relationships. I believe youth can support public diplomacy by participating in international programs, student events, volunteering, and online dialogue.
For me, public diplomacy means representing my background positively, listening to others, and learning from different cultures. My student experience has taught me that teamwork, research, and respectful communication can create trust between people. Through this summit, I hope to learn from young leaders, share my perspective, and become more active in global youth cooperation while contributing to a more respectful and connected world.</v>
      </c>
      <c r="AQ105" s="61" t="str">
        <f>IFERROR(__xludf.DUMMYFUNCTION("""COMPUTED_VALUE"""),"Passion is the inner motivation that pushes a person to continue learning, improving, and working toward meaningful goals. It gives energy during challenges and helps turn ideas into real actions. For me, passion is connected to technology, youth leadersh"&amp;"ip, and cultural exchange. As a first-year Management Information Systems student, I am passionate about understanding how digital tools, data organization, and management systems can improve people’s lives.
Passion helps me achieve my goals because it k"&amp;"eeps me committed to learning new skills, such as communication, research, teamwork, and problem-solving. It also encourages me to participate in student activities and international programs where I can grow personally and professionally. When passion is"&amp;" combined with discipline and a willingness to learn, it becomes a strong force for success and positive impact.")</f>
        <v>Passion is the inner motivation that pushes a person to continue learning, improving, and working toward meaningful goals. It gives energy during challenges and helps turn ideas into real actions. For me, passion is connected to technology, youth leadership, and cultural exchange. As a first-year Management Information Systems student, I am passionate about understanding how digital tools, data organization, and management systems can improve people’s lives.
Passion helps me achieve my goals because it keeps me committed to learning new skills, such as communication, research, teamwork, and problem-solving. It also encourages me to participate in student activities and international programs where I can grow personally and professionally. When passion is combined with discipline and a willingness to learn, it becomes a strong force for success and positive impact.</v>
      </c>
      <c r="AR105" s="61" t="str">
        <f>IFERROR(__xludf.DUMMYFUNCTION("""COMPUTED_VALUE"""),"Yes, I consider myself a creative person because I try to think of simple and practical ways to communicate ideas, solve problems, and connect with people. Creativity is not only about art; it is also about finding new methods to build understanding and c"&amp;"ooperation. As a Management Information Systems student, I am interested in using technology, data organization, and digital communication to support meaningful messages.
Creativity can become an effective public diplomacy strategy when it is used to pre"&amp;"sent cultures, stories, and values in a clear and engaging way. For example, youth can use social media campaigns, digital presentations, student events, and online discussions to promote dialogue between communities. Creative communication can reduce mis"&amp;"understandings, challenge stereotypes, and make diplomacy more accessible to young people.
I believe my creativity, combined with teamwork, research, and cross-cultural communication, can help me contribute to public diplomacy. By listening to others and"&amp;" presenting ideas respectfully, I can support cultural exchange and positive international relations. I also believe creative youth can make global issues easier to understand, especially when they use technology to share positive stories and encourage co"&amp;"operation.")</f>
        <v>Yes, I consider myself a creative person because I try to think of simple and practical ways to communicate ideas, solve problems, and connect with people. Creativity is not only about art; it is also about finding new methods to build understanding and cooperation. As a Management Information Systems student, I am interested in using technology, data organization, and digital communication to support meaningful messages.
Creativity can become an effective public diplomacy strategy when it is used to present cultures, stories, and values in a clear and engaging way. For example, youth can use social media campaigns, digital presentations, student events, and online discussions to promote dialogue between communities. Creative communication can reduce misunderstandings, challenge stereotypes, and make diplomacy more accessible to young people.
I believe my creativity, combined with teamwork, research, and cross-cultural communication, can help me contribute to public diplomacy. By listening to others and presenting ideas respectfully, I can support cultural exchange and positive international relations. I also believe creative youth can make global issues easier to understand, especially when they use technology to share positive stories and encourage cooperation.</v>
      </c>
      <c r="AS105" s="61" t="str">
        <f>IFERROR(__xludf.DUMMYFUNCTION("""COMPUTED_VALUE"""),"Yes")</f>
        <v>Yes</v>
      </c>
      <c r="AT105" s="61" t="str">
        <f>IFERROR(__xludf.DUMMYFUNCTION("""COMPUTED_VALUE"""),"Yes")</f>
        <v>Yes</v>
      </c>
      <c r="AU105" s="61" t="str">
        <f>IFERROR(__xludf.DUMMYFUNCTION("""COMPUTED_VALUE"""),"Global Politics, Diplomacy &amp; Identities")</f>
        <v>Global Politics, Diplomacy &amp; Identities</v>
      </c>
      <c r="AV105" s="61" t="str">
        <f>IFERROR(__xludf.DUMMYFUNCTION("""COMPUTED_VALUE"""),"Palestinian Youth Forum on Facebook")</f>
        <v>Palestinian Youth Forum on Facebook</v>
      </c>
      <c r="AW105" s="61" t="str">
        <f>IFERROR(__xludf.DUMMYFUNCTION("""COMPUTED_VALUE"""),"Public Diplomacy in the 21st Century")</f>
        <v>Public Diplomacy in the 21st Century</v>
      </c>
      <c r="AX105" s="66" t="str">
        <f>IFERROR(__xludf.DUMMYFUNCTION("""COMPUTED_VALUE"""),"Yes")</f>
        <v>Yes</v>
      </c>
      <c r="AY105" s="66">
        <f>IFERROR(__xludf.DUMMYFUNCTION("""COMPUTED_VALUE"""),15.99)</f>
        <v>15.99</v>
      </c>
      <c r="AZ105" s="61"/>
      <c r="BA105" s="61"/>
      <c r="BB105" s="61"/>
      <c r="BC105" s="61"/>
      <c r="BD105" s="61"/>
      <c r="BE105" s="61"/>
      <c r="BF105" s="61"/>
      <c r="BG105" s="61"/>
      <c r="BH105" s="61"/>
      <c r="BI105" s="61"/>
      <c r="BJ105" s="61"/>
      <c r="BK105" s="61"/>
      <c r="BL105" s="61"/>
      <c r="BM105" s="61"/>
      <c r="BN105" s="61"/>
      <c r="BO105" s="61"/>
      <c r="BP105" s="61"/>
      <c r="BQ105" s="61"/>
      <c r="BR105" s="61"/>
    </row>
    <row r="106" ht="15.75" customHeight="1">
      <c r="A106" s="61" t="str">
        <f>IFERROR(__xludf.DUMMYFUNCTION("""COMPUTED_VALUE"""),"self")</f>
        <v>self</v>
      </c>
      <c r="B106" s="62">
        <f>IFERROR(__xludf.DUMMYFUNCTION("""COMPUTED_VALUE"""),127.0)</f>
        <v>127</v>
      </c>
      <c r="C106" s="61" t="str">
        <f>IFERROR(__xludf.DUMMYFUNCTION("""COMPUTED_VALUE"""),"self")</f>
        <v>self</v>
      </c>
      <c r="D106" s="63" t="str">
        <f>IFERROR(__xludf.DUMMYFUNCTION("""COMPUTED_VALUE"""),"Submitted")</f>
        <v>Submitted</v>
      </c>
      <c r="E106" s="63">
        <f>IFERROR(__xludf.DUMMYFUNCTION("""COMPUTED_VALUE"""),46208.69930555556)</f>
        <v>46208.69931</v>
      </c>
      <c r="F106" s="61" t="str">
        <f>IFERROR(__xludf.DUMMYFUNCTION("""COMPUTED_VALUE"""),"Yazan Yılmaz")</f>
        <v>Yazan Yılmaz</v>
      </c>
      <c r="G106" s="61" t="str">
        <f>IFERROR(__xludf.DUMMYFUNCTION("""COMPUTED_VALUE"""),"Yazan Yılmaz")</f>
        <v>Yazan Yılmaz</v>
      </c>
      <c r="H106" s="61" t="str">
        <f>IFERROR(__xludf.DUMMYFUNCTION("""COMPUTED_VALUE"""),"yazan.volkan.yilmaz@gmail.com")</f>
        <v>yazan.volkan.yilmaz@gmail.com</v>
      </c>
      <c r="I106" s="61" t="str">
        <f>IFERROR(__xludf.DUMMYFUNCTION("""COMPUTED_VALUE"""),"yazan.khalafallah1@gmail.com")</f>
        <v>yazan.khalafallah1@gmail.com</v>
      </c>
      <c r="J106" s="61" t="str">
        <f>IFERROR(__xludf.DUMMYFUNCTION("""COMPUTED_VALUE"""),"KAYABAŞI MAH. ŞEHİT SEMİH BALABAN CAD.  BAŞAKŞEHİR / İSTANBUL, 8.BÖLGE SAFİR SİTESİ, İSTANBUL, Türkiye")</f>
        <v>KAYABAŞI MAH. ŞEHİT SEMİH BALABAN CAD.  BAŞAKŞEHİR / İSTANBUL, 8.BÖLGE SAFİR SİTESİ, İSTANBUL, Türkiye</v>
      </c>
      <c r="K106" s="61" t="str">
        <f>IFERROR(__xludf.DUMMYFUNCTION("""COMPUTED_VALUE"""),"Palestinian/Turkish")</f>
        <v>Palestinian/Turkish</v>
      </c>
      <c r="L106" s="64" t="str">
        <f>IFERROR(__xludf.DUMMYFUNCTION("""COMPUTED_VALUE"""),"+905544989019")</f>
        <v>+905544989019</v>
      </c>
      <c r="M106" s="64">
        <f>IFERROR(__xludf.DUMMYFUNCTION("""COMPUTED_VALUE"""),38833.0)</f>
        <v>38833</v>
      </c>
      <c r="N106" s="61" t="str">
        <f>IFERROR(__xludf.DUMMYFUNCTION("""COMPUTED_VALUE"""),"U26838758")</f>
        <v>U26838758</v>
      </c>
      <c r="O106" s="61" t="str">
        <f>IFERROR(__xludf.DUMMYFUNCTION("""COMPUTED_VALUE"""),"+905525564561")</f>
        <v>+905525564561</v>
      </c>
      <c r="P106" s="61"/>
      <c r="Q106" s="65" t="str">
        <f>IFERROR(__xludf.DUMMYFUNCTION("""COMPUTED_VALUE"""),"https://www.instagram.com/_yazan_26?igsh=ZXlhaW5qZXJ6NXM2&amp;utm_source=qr")</f>
        <v>https://www.instagram.com/_yazan_26?igsh=ZXlhaW5qZXJ6NXM2&amp;utm_source=qr</v>
      </c>
      <c r="R106" s="61"/>
      <c r="S106" s="61" t="str">
        <f>IFERROR(__xludf.DUMMYFUNCTION("""COMPUTED_VALUE"""),"Screenshot 2025-06-28 at 09.32.03 (1).png")</f>
        <v>Screenshot 2025-06-28 at 09.32.03 (1).png</v>
      </c>
      <c r="T106" s="61" t="str">
        <f>IFERROR(__xludf.DUMMYFUNCTION("""COMPUTED_VALUE"""),"IMG_0131.HEIC")</f>
        <v>IMG_0131.HEIC</v>
      </c>
      <c r="U106" s="61" t="str">
        <f>IFERROR(__xludf.DUMMYFUNCTION("""COMPUTED_VALUE"""),"Bachelors")</f>
        <v>Bachelors</v>
      </c>
      <c r="V106" s="61" t="str">
        <f>IFERROR(__xludf.DUMMYFUNCTION("""COMPUTED_VALUE"""),"Bachelor of Computer Engineering")</f>
        <v>Bachelor of Computer Engineering</v>
      </c>
      <c r="W106" s="61" t="str">
        <f>IFERROR(__xludf.DUMMYFUNCTION("""COMPUTED_VALUE"""),"Computer Engineering")</f>
        <v>Computer Engineering</v>
      </c>
      <c r="X106" s="61" t="str">
        <f>IFERROR(__xludf.DUMMYFUNCTION("""COMPUTED_VALUE"""),"Istanbul haliç University")</f>
        <v>Istanbul haliç University</v>
      </c>
      <c r="Y106" s="61" t="str">
        <f>IFERROR(__xludf.DUMMYFUNCTION("""COMPUTED_VALUE"""),"Yes")</f>
        <v>Yes</v>
      </c>
      <c r="Z106" s="61" t="str">
        <f>IFERROR(__xludf.DUMMYFUNCTION("""COMPUTED_VALUE"""),"Turkey")</f>
        <v>Turkey</v>
      </c>
      <c r="AA106" s="61" t="str">
        <f>IFERROR(__xludf.DUMMYFUNCTION("""COMPUTED_VALUE"""),"No")</f>
        <v>No</v>
      </c>
      <c r="AB106" s="61"/>
      <c r="AC106" s="61" t="str">
        <f>IFERROR(__xludf.DUMMYFUNCTION("""COMPUTED_VALUE"""),"yes")</f>
        <v>yes</v>
      </c>
      <c r="AD106" s="61" t="str">
        <f>IFERROR(__xludf.DUMMYFUNCTION("""COMPUTED_VALUE"""),"FÖDERN - Filistin Öğrencileri Derneği (Palestinian Students Association)")</f>
        <v>FÖDERN - Filistin Öğrencileri Derneği (Palestinian Students Association)</v>
      </c>
      <c r="AE106" s="65" t="str">
        <f>IFERROR(__xludf.DUMMYFUNCTION("""COMPUTED_VALUE"""),"https://fodern.org/")</f>
        <v>https://fodern.org/</v>
      </c>
      <c r="AF106" s="61" t="str">
        <f>IFERROR(__xludf.DUMMYFUNCTION("""COMPUTED_VALUE"""),"Volunteer Member")</f>
        <v>Volunteer Member</v>
      </c>
      <c r="AG106" s="61" t="str">
        <f>IFERROR(__xludf.DUMMYFUNCTION("""COMPUTED_VALUE"""),"1 (year)")</f>
        <v>1 (year)</v>
      </c>
      <c r="AH106" s="61" t="str">
        <f>IFERROR(__xludf.DUMMYFUNCTION("""COMPUTED_VALUE"""),"No")</f>
        <v>No</v>
      </c>
      <c r="AI106" s="61"/>
      <c r="AJ106" s="61" t="str">
        <f>IFERROR(__xludf.DUMMYFUNCTION("""COMPUTED_VALUE"""),"No")</f>
        <v>No</v>
      </c>
      <c r="AK106" s="61"/>
      <c r="AL106" s="61" t="str">
        <f>IFERROR(__xludf.DUMMYFUNCTION("""COMPUTED_VALUE"""),"Programming (Python, C++), basic web development, problem-solving,  analytical thinking, teamwork, leadership, communication skills,  time management, volunteering &amp; community work")</f>
        <v>Programming (Python, C++), basic web development, problem-solving,  analytical thinking, teamwork, leadership, communication skills,  time management, volunteering &amp; community work</v>
      </c>
      <c r="AM106" s="61" t="str">
        <f>IFERROR(__xludf.DUMMYFUNCTION("""COMPUTED_VALUE"""),"Yazan_Yilmaz_CV_1.docx")</f>
        <v>Yazan_Yilmaz_CV_1.docx</v>
      </c>
      <c r="AN106" s="61" t="str">
        <f>IFERROR(__xludf.DUMMYFUNCTION("""COMPUTED_VALUE"""),"Yes, I've thought about this more than once — I believe impact doesn't have to be big to matter. The moment I felt it most was when a new student at my university felt lost because of the language and unfamiliar environment, so I guided him through daily "&amp;"life and study matters until he settled in. That simple act showed me how much a small gesture of support can change someone's whole experience. This is also why I volunteer with FÖDERN, a Palestinian students' association in Turkey — as a Palestinian liv"&amp;"ing abroad, I feel responsible for strengthening my community and helping others feel they belong.")</f>
        <v>Yes, I've thought about this more than once — I believe impact doesn't have to be big to matter. The moment I felt it most was when a new student at my university felt lost because of the language and unfamiliar environment, so I guided him through daily life and study matters until he settled in. That simple act showed me how much a small gesture of support can change someone's whole experience. This is also why I volunteer with FÖDERN, a Palestinian students' association in Turkey — as a Palestinian living abroad, I feel responsible for strengthening my community and helping others feel they belong.</v>
      </c>
      <c r="AO106" s="61" t="str">
        <f>IFERROR(__xludf.DUMMYFUNCTION("""COMPUTED_VALUE"""),"In my view, the United States stands out as one of the most diplomatically significant countries in the world. Its extensive network of international relations, combined with its economic and military power, gives it major influence over global decisions "&amp;"and conflict mediation. As a Palestinian living in Turkey, I see this influence up close — U.S. policy shapes, directly or indirectly, many issues in our region, especially the Palestinian cause. This personal perspective makes me more aware of how real d"&amp;"iplomatic power works: it can either help create solutions or deepen existing complexities, depending on how it's used")</f>
        <v>In my view, the United States stands out as one of the most diplomatically significant countries in the world. Its extensive network of international relations, combined with its economic and military power, gives it major influence over global decisions and conflict mediation. As a Palestinian living in Turkey, I see this influence up close — U.S. policy shapes, directly or indirectly, many issues in our region, especially the Palestinian cause. This personal perspective makes me more aware of how real diplomatic power works: it can either help create solutions or deepen existing complexities, depending on how it's used</v>
      </c>
      <c r="AP106" s="61" t="str">
        <f>IFERROR(__xludf.DUMMYFUNCTION("""COMPUTED_VALUE"""),"I believe young people play a distinct and important role in diplomacy, especially in public diplomacy. Unlike older generations, youth have tools that let them connect instantly across borders — through social media, cross-cultural friendships, and every"&amp;"day interactions that break down stereotypes. This creates a quiet but deep influence on how peoples understand one another.
On a personal level, I feel I practice a kind of 'informal diplomacy' in my daily life. As a Palestinian living in Turkey, I often"&amp;" find myself representing my people and culture to others — through how I behave, how I speak, and how I discuss my cause.
I remember a conversation with a friend from a different background who held a limited, stereotypical view of Palestine. Through a s"&amp;"imple, honest conversation, I was able to show him a human and cultural side of our lives, beyond the media image he had grown up with. That moment made me realize that diplomacy isn't limited to politicians — anyone can become a bridge of understanding b"&amp;"etween cultures, simply by being genuine and open in their everyday interactions")</f>
        <v>I believe young people play a distinct and important role in diplomacy, especially in public diplomacy. Unlike older generations, youth have tools that let them connect instantly across borders — through social media, cross-cultural friendships, and everyday interactions that break down stereotypes. This creates a quiet but deep influence on how peoples understand one another.
On a personal level, I feel I practice a kind of 'informal diplomacy' in my daily life. As a Palestinian living in Turkey, I often find myself representing my people and culture to others — through how I behave, how I speak, and how I discuss my cause.
I remember a conversation with a friend from a different background who held a limited, stereotypical view of Palestine. Through a simple, honest conversation, I was able to show him a human and cultural side of our lives, beyond the media image he had grown up with. That moment made me realize that diplomacy isn't limited to politicians — anyone can become a bridge of understanding between cultures, simply by being genuine and open in their everyday interactions</v>
      </c>
      <c r="AQ106" s="61" t="str">
        <f>IFERROR(__xludf.DUMMYFUNCTION("""COMPUTED_VALUE"""),"To me, passion is the inner drive that keeps you moving forward and growing, even in the hardest circumstances — it's what gives goals real meaning. Passion isn't a passing interest; it's what pushes you to keep going without getting bored, and makes you "&amp;"see challenges as opportunities to learn.
My passion centers on continuous learning and community work. I love constantly developing myself, whether through my studies or the experiences I go through, and I find real value in helping others and contributi"&amp;"ng to my community, especially through volunteering.
This passion clearly shaped my choices — I chose to keep developing my skills academically while continuing to volunteer despite limited time and responsibilities. For me, it was never just an extra act"&amp;"ivity; it became a core part of who I am.
I believe this passion will help me reach my future goals by building a balanced character that combines knowledge with social responsibility, and by pushing me to create a positive impact — professionally and wit"&amp;"hin my community")</f>
        <v>To me, passion is the inner drive that keeps you moving forward and growing, even in the hardest circumstances — it's what gives goals real meaning. Passion isn't a passing interest; it's what pushes you to keep going without getting bored, and makes you see challenges as opportunities to learn.
My passion centers on continuous learning and community work. I love constantly developing myself, whether through my studies or the experiences I go through, and I find real value in helping others and contributing to my community, especially through volunteering.
This passion clearly shaped my choices — I chose to keep developing my skills academically while continuing to volunteer despite limited time and responsibilities. For me, it was never just an extra activity; it became a core part of who I am.
I believe this passion will help me reach my future goals by building a balanced character that combines knowledge with social responsibility, and by pushing me to create a positive impact — professionally and within my community</v>
      </c>
      <c r="AR106" s="61" t="str">
        <f>IFERROR(__xludf.DUMMYFUNCTION("""COMPUTED_VALUE"""),"I consider myself a creative person, though not necessarily in the traditional artistic sense — my creativity shows in how I think, solve problems, and communicate with others. I enjoy finding new, simple ways to explain ideas, especially when it comes to"&amp;" sensitive or complex issues, and I see that as its own form of creativity.
I believe this creativity can become an effective tool in public diplomacy through modern, innovative means of communication. For example, interactive digital content that tells r"&amp;"eal human stories in a simple, relatable way — short videos or interactive platforms that let people understand different cultures directly — can help break stereotypes and bring nations closer together.
My background in computer engineering gives me an a"&amp;"dded advantage here. I can use my technical skills to build digital platforms, applications, or awareness campaigns that use technology to spread humanitarian and cultural messages more widely and effectively. This combination of creativity and technology"&amp;" could form a modern model for public diplomacy — one where impact isn't limited to words alone, but extends to digital tools that reach a global audience.")</f>
        <v>I consider myself a creative person, though not necessarily in the traditional artistic sense — my creativity shows in how I think, solve problems, and communicate with others. I enjoy finding new, simple ways to explain ideas, especially when it comes to sensitive or complex issues, and I see that as its own form of creativity.
I believe this creativity can become an effective tool in public diplomacy through modern, innovative means of communication. For example, interactive digital content that tells real human stories in a simple, relatable way — short videos or interactive platforms that let people understand different cultures directly — can help break stereotypes and bring nations closer together.
My background in computer engineering gives me an added advantage here. I can use my technical skills to build digital platforms, applications, or awareness campaigns that use technology to spread humanitarian and cultural messages more widely and effectively. This combination of creativity and technology could form a modern model for public diplomacy — one where impact isn't limited to words alone, but extends to digital tools that reach a global audience.</v>
      </c>
      <c r="AS106" s="61" t="str">
        <f>IFERROR(__xludf.DUMMYFUNCTION("""COMPUTED_VALUE"""),"Yes")</f>
        <v>Yes</v>
      </c>
      <c r="AT106" s="61" t="str">
        <f>IFERROR(__xludf.DUMMYFUNCTION("""COMPUTED_VALUE"""),"Yes")</f>
        <v>Yes</v>
      </c>
      <c r="AU106" s="61" t="str">
        <f>IFERROR(__xludf.DUMMYFUNCTION("""COMPUTED_VALUE"""),"International Public Service Relations")</f>
        <v>International Public Service Relations</v>
      </c>
      <c r="AV106" s="61" t="str">
        <f>IFERROR(__xludf.DUMMYFUNCTION("""COMPUTED_VALUE"""),"friend referred")</f>
        <v>friend referred</v>
      </c>
      <c r="AW106" s="61" t="str">
        <f>IFERROR(__xludf.DUMMYFUNCTION("""COMPUTED_VALUE"""),"Public Diplomacy in the 21st Century")</f>
        <v>Public Diplomacy in the 21st Century</v>
      </c>
      <c r="AX106" s="66" t="str">
        <f>IFERROR(__xludf.DUMMYFUNCTION("""COMPUTED_VALUE"""),"Yes")</f>
        <v>Yes</v>
      </c>
      <c r="AY106" s="66">
        <f>IFERROR(__xludf.DUMMYFUNCTION("""COMPUTED_VALUE"""),15.99)</f>
        <v>15.99</v>
      </c>
      <c r="AZ106" s="61"/>
      <c r="BA106" s="61"/>
      <c r="BB106" s="61"/>
      <c r="BC106" s="61"/>
      <c r="BD106" s="61"/>
      <c r="BE106" s="61"/>
      <c r="BF106" s="61"/>
      <c r="BG106" s="61"/>
      <c r="BH106" s="61"/>
      <c r="BI106" s="61"/>
      <c r="BJ106" s="61"/>
      <c r="BK106" s="61"/>
      <c r="BL106" s="61"/>
      <c r="BM106" s="61"/>
      <c r="BN106" s="61"/>
      <c r="BO106" s="61"/>
      <c r="BP106" s="61"/>
      <c r="BQ106" s="61"/>
      <c r="BR106" s="61"/>
    </row>
    <row r="107" ht="15.75" customHeight="1">
      <c r="A107" s="61" t="str">
        <f>IFERROR(__xludf.DUMMYFUNCTION("""COMPUTED_VALUE"""),"")</f>
        <v/>
      </c>
      <c r="B107" s="62">
        <f>IFERROR(__xludf.DUMMYFUNCTION("""COMPUTED_VALUE"""),128.0)</f>
        <v>128</v>
      </c>
      <c r="C107" s="61" t="str">
        <f>IFERROR(__xludf.DUMMYFUNCTION("""COMPUTED_VALUE"""),"Self")</f>
        <v>Self</v>
      </c>
      <c r="D107" s="63" t="str">
        <f>IFERROR(__xludf.DUMMYFUNCTION("""COMPUTED_VALUE"""),"Submitted")</f>
        <v>Submitted</v>
      </c>
      <c r="E107" s="63">
        <f>IFERROR(__xludf.DUMMYFUNCTION("""COMPUTED_VALUE"""),46208.70902777778)</f>
        <v>46208.70903</v>
      </c>
      <c r="F107" s="61" t="str">
        <f>IFERROR(__xludf.DUMMYFUNCTION("""COMPUTED_VALUE"""),"Darya Gorbulicheva")</f>
        <v>Darya Gorbulicheva</v>
      </c>
      <c r="G107" s="61" t="str">
        <f>IFERROR(__xludf.DUMMYFUNCTION("""COMPUTED_VALUE"""),"Darya Gorbulicheva")</f>
        <v>Darya Gorbulicheva</v>
      </c>
      <c r="H107" s="61" t="str">
        <f>IFERROR(__xludf.DUMMYFUNCTION("""COMPUTED_VALUE"""),"daryagorbulicheva@gmail.com")</f>
        <v>daryagorbulicheva@gmail.com</v>
      </c>
      <c r="I107" s="61" t="str">
        <f>IFERROR(__xludf.DUMMYFUNCTION("""COMPUTED_VALUE"""),"funeoneone33@gmail.com")</f>
        <v>funeoneone33@gmail.com</v>
      </c>
      <c r="J107" s="61" t="str">
        <f>IFERROR(__xludf.DUMMYFUNCTION("""COMPUTED_VALUE"""),"Baitursynov Street 72, Almaty, Kazakhstan")</f>
        <v>Baitursynov Street 72, Almaty, Kazakhstan</v>
      </c>
      <c r="K107" s="61" t="str">
        <f>IFERROR(__xludf.DUMMYFUNCTION("""COMPUTED_VALUE"""),"Russian")</f>
        <v>Russian</v>
      </c>
      <c r="L107" s="64" t="str">
        <f>IFERROR(__xludf.DUMMYFUNCTION("""COMPUTED_VALUE"""),"+7 700 111 5266")</f>
        <v>+7 700 111 5266</v>
      </c>
      <c r="M107" s="64">
        <f>IFERROR(__xludf.DUMMYFUNCTION("""COMPUTED_VALUE"""),39014.0)</f>
        <v>39014</v>
      </c>
      <c r="N107" s="61" t="str">
        <f>IFERROR(__xludf.DUMMYFUNCTION("""COMPUTED_VALUE"""),"N15000539")</f>
        <v>N15000539</v>
      </c>
      <c r="O107" s="61" t="str">
        <f>IFERROR(__xludf.DUMMYFUNCTION("""COMPUTED_VALUE"""),"+7 701 721 4366")</f>
        <v>+7 701 721 4366</v>
      </c>
      <c r="P107" s="67" t="str">
        <f>IFERROR(__xludf.DUMMYFUNCTION("""COMPUTED_VALUE"""),"https://www.linkedin.com/in/darya-gorbulicheva/")</f>
        <v>https://www.linkedin.com/in/darya-gorbulicheva/</v>
      </c>
      <c r="Q107" s="61"/>
      <c r="R107" s="61"/>
      <c r="S107" s="61" t="str">
        <f>IFERROR(__xludf.DUMMYFUNCTION("""COMPUTED_VALUE"""),"Darya_Gorbulicheva_Passport.pdf")</f>
        <v>Darya_Gorbulicheva_Passport.pdf</v>
      </c>
      <c r="T107" s="61" t="str">
        <f>IFERROR(__xludf.DUMMYFUNCTION("""COMPUTED_VALUE"""),"Darya_Gorbulicheva_Profile_Picture.JPG")</f>
        <v>Darya_Gorbulicheva_Profile_Picture.JPG</v>
      </c>
      <c r="U107" s="61" t="str">
        <f>IFERROR(__xludf.DUMMYFUNCTION("""COMPUTED_VALUE"""),"Bachelor's")</f>
        <v>Bachelor's</v>
      </c>
      <c r="V107" s="61" t="str">
        <f>IFERROR(__xludf.DUMMYFUNCTION("""COMPUTED_VALUE"""),"Bachelor's Degree")</f>
        <v>Bachelor's Degree</v>
      </c>
      <c r="W107" s="61" t="str">
        <f>IFERROR(__xludf.DUMMYFUNCTION("""COMPUTED_VALUE"""),"International Relations")</f>
        <v>International Relations</v>
      </c>
      <c r="X107" s="61" t="str">
        <f>IFERROR(__xludf.DUMMYFUNCTION("""COMPUTED_VALUE"""),"Kazakh-German University")</f>
        <v>Kazakh-German University</v>
      </c>
      <c r="Y107" s="61" t="str">
        <f>IFERROR(__xludf.DUMMYFUNCTION("""COMPUTED_VALUE"""),"Yes")</f>
        <v>Yes</v>
      </c>
      <c r="Z107" s="61" t="str">
        <f>IFERROR(__xludf.DUMMYFUNCTION("""COMPUTED_VALUE"""),"Kazakhstan")</f>
        <v>Kazakhstan</v>
      </c>
      <c r="AA107" s="61" t="str">
        <f>IFERROR(__xludf.DUMMYFUNCTION("""COMPUTED_VALUE"""),"Yes")</f>
        <v>Yes</v>
      </c>
      <c r="AB107" s="61" t="str">
        <f>IFERROR(__xludf.DUMMYFUNCTION("""COMPUTED_VALUE"""),"Goethe-Institut Bonn (DAAD Language Course)")</f>
        <v>Goethe-Institut Bonn (DAAD Language Course)</v>
      </c>
      <c r="AC107" s="61" t="str">
        <f>IFERROR(__xludf.DUMMYFUNCTION("""COMPUTED_VALUE"""),"Yes")</f>
        <v>Yes</v>
      </c>
      <c r="AD107" s="61" t="str">
        <f>IFERROR(__xludf.DUMMYFUNCTION("""COMPUTED_VALUE"""),"Ashyq Jurek")</f>
        <v>Ashyq Jurek</v>
      </c>
      <c r="AE107" s="65" t="str">
        <f>IFERROR(__xludf.DUMMYFUNCTION("""COMPUTED_VALUE"""),"https://ashyqjurek.kz/#home")</f>
        <v>https://ashyqjurek.kz/#home</v>
      </c>
      <c r="AF107" s="61" t="str">
        <f>IFERROR(__xludf.DUMMYFUNCTION("""COMPUTED_VALUE"""),"Deputy Head of Document Management Department")</f>
        <v>Deputy Head of Document Management Department</v>
      </c>
      <c r="AG107" s="61" t="str">
        <f>IFERROR(__xludf.DUMMYFUNCTION("""COMPUTED_VALUE"""),"2 months")</f>
        <v>2 months</v>
      </c>
      <c r="AH107" s="61" t="str">
        <f>IFERROR(__xludf.DUMMYFUNCTION("""COMPUTED_VALUE"""),"No")</f>
        <v>No</v>
      </c>
      <c r="AI107" s="61"/>
      <c r="AJ107" s="61"/>
      <c r="AK107" s="61"/>
      <c r="AL107" s="61" t="str">
        <f>IFERROR(__xludf.DUMMYFUNCTION("""COMPUTED_VALUE"""),"Youth Diplomacy, Project Coordination, Document Management, Leadership, Public Speaking, Event Organization")</f>
        <v>Youth Diplomacy, Project Coordination, Document Management, Leadership, Public Speaking, Event Organization</v>
      </c>
      <c r="AM107" s="61" t="str">
        <f>IFERROR(__xludf.DUMMYFUNCTION("""COMPUTED_VALUE"""),"Darya_Gorbulicheva_CV.docx")</f>
        <v>Darya_Gorbulicheva_CV.docx</v>
      </c>
      <c r="AN107" s="61" t="str">
        <f>IFERROR(__xludf.DUMMYFUNCTION("""COMPUTED_VALUE"""),"Honestly, I am at the very beginning of my journey and cannot claim a massive global impact yet. Right now, my focus is on self-education. I am actively researching literature to understand gender issues deeply and develope the emerging ""Women Go"" proje"&amp;"ct and contributing to the ""Gender Equality Wff Kazakhstan"" team. I join these initiatives to be useful where I can and to learn from the inside. Moving forward, I plan to leverage this knowledge practically as a diplomacy specialist, using internationa"&amp;"l platforms to advocate for women’s rights and build a more equitable world.")</f>
        <v>Honestly, I am at the very beginning of my journey and cannot claim a massive global impact yet. Right now, my focus is on self-education. I am actively researching literature to understand gender issues deeply and develope the emerging "Women Go" project and contributing to the "Gender Equality Wff Kazakhstan" team. I join these initiatives to be useful where I can and to learn from the inside. Moving forward, I plan to leverage this knowledge practically as a diplomacy specialist, using international platforms to advocate for women’s rights and build a more equitable world.</v>
      </c>
      <c r="AO107" s="61" t="str">
        <f>IFERROR(__xludf.DUMMYFUNCTION("""COMPUTED_VALUE"""),"In my opinion, the United States and China are the two most diplomatically significant countries in today's world. As the world's largest economies and key global actors, their decisions shape international security, trade, technological development, and "&amp;"responses to global challenges. As Henry Kissinger argues in ""World Order"", a stable international system depends on constructive relations between the United States and China. I believe that responsible diplomacy between major powers is essential for m"&amp;"aintaining global stability and addressing challenges that no country can solve alone.")</f>
        <v>In my opinion, the United States and China are the two most diplomatically significant countries in today's world. As the world's largest economies and key global actors, their decisions shape international security, trade, technological development, and responses to global challenges. As Henry Kissinger argues in "World Order", a stable international system depends on constructive relations between the United States and China. I believe that responsible diplomacy between major powers is essential for maintaining global stability and addressing challenges that no country can solve alone.</v>
      </c>
      <c r="AP107" s="61" t="str">
        <f>IFERROR(__xludf.DUMMYFUNCTION("""COMPUTED_VALUE"""),"Today, young people are unequivocally the future of diplomacy and essential players in shaping international relations. I firmly believe that through academic exchanges, volunteering, international forums, networking, and digital communication, youth can "&amp;"build trust, promote intercultural dialogue, tackle global challenges, and create a lasting impact. As the generation that grew up in an interconnected world, young people have a unique ability to bridge cultures. Public diplomacy, in my view, goes beyond"&amp;" simply representing national interests because it is about creating genuine mutual understanding between societies. This understanding can only be achieved through education, cultural initiatives, people-to-people exchanges, and open dialogue. My active "&amp;"involvement in youth diplomacy initiatives, volunteering, and international educational programs has shown me that sustainable partnerships stem from personal relationships, shared experiences, and mutual respect. These experiences have strengthened my le"&amp;"adership and communication skills while reinforcing my commitment to international cooperation.
To sum up, I see public diplomacy as a powerful instrument for reducing stereotypes, strengthening mutual trust, encouraging collaboration, and creating opport"&amp;"unities for future generations. As a motivated young person, I am determined to develop in youth diplomacy by promoting dialogue and representing Kazakhstan with professionalisma.")</f>
        <v>Today, young people are unequivocally the future of diplomacy and essential players in shaping international relations. I firmly believe that through academic exchanges, volunteering, international forums, networking, and digital communication, youth can build trust, promote intercultural dialogue, tackle global challenges, and create a lasting impact. As the generation that grew up in an interconnected world, young people have a unique ability to bridge cultures. Public diplomacy, in my view, goes beyond simply representing national interests because it is about creating genuine mutual understanding between societies. This understanding can only be achieved through education, cultural initiatives, people-to-people exchanges, and open dialogue. My active involvement in youth diplomacy initiatives, volunteering, and international educational programs has shown me that sustainable partnerships stem from personal relationships, shared experiences, and mutual respect. These experiences have strengthened my leadership and communication skills while reinforcing my commitment to international cooperation.
To sum up, I see public diplomacy as a powerful instrument for reducing stereotypes, strengthening mutual trust, encouraging collaboration, and creating opportunities for future generations. As a motivated young person, I am determined to develop in youth diplomacy by promoting dialogue and representing Kazakhstan with professionalisma.</v>
      </c>
      <c r="AQ107" s="61" t="str">
        <f>IFERROR(__xludf.DUMMYFUNCTION("""COMPUTED_VALUE"""),"For me, passion is the driving force that transforms ambitions into actions. It is a long-term commitment to continuous learning and personal growth. I believe that passion provides resilience during challenges and pushes forward to keep moving even when "&amp;"progress is slow. My passion lies in international relations and youth diplomacy. It has encouraged me to volunteer in social initiatives, participate in youth diplomacy projects, improve my foreign language skills, and seek educational opportunities. 
Ev"&amp;"ery experience has shaped who I am today, helping me develop new skills, broaden my perspective, and strengthen my will to build connections between people from different cultures. Passion also helps me set clear goals and remain focused on achieving them"&amp;". It inspires me to embrace new challenges, learn from diverse experiences, and continuously improve myself. I am convinced that when passion is combined with dedication and hard work, it becomes a powerful force for personal development.")</f>
        <v>For me, passion is the driving force that transforms ambitions into actions. It is a long-term commitment to continuous learning and personal growth. I believe that passion provides resilience during challenges and pushes forward to keep moving even when progress is slow. My passion lies in international relations and youth diplomacy. It has encouraged me to volunteer in social initiatives, participate in youth diplomacy projects, improve my foreign language skills, and seek educational opportunities. 
Every experience has shaped who I am today, helping me develop new skills, broaden my perspective, and strengthen my will to build connections between people from different cultures. Passion also helps me set clear goals and remain focused on achieving them. It inspires me to embrace new challenges, learn from diverse experiences, and continuously improve myself. I am convinced that when passion is combined with dedication and hard work, it becomes a powerful force for personal development.</v>
      </c>
      <c r="AR107" s="61" t="str">
        <f>IFERROR(__xludf.DUMMYFUNCTION("""COMPUTED_VALUE"""),"I consider myself a creative person because I love exploring new ideas and experiences, as well as discovering different perspectives on the world. My curiosity allows me to find almost everything interesting, making me feel like an explorer. To me, creat"&amp;"ivity involves being open-minded, adventurous, curious, and willing to step outside my comfort zone. In the context of public diplomacy, creativity is crucial for engaging diverse audiences and making international cooperation more accessible. Initiatives"&amp;" such as social media campaigns, cultural festivals, educational exchanges, and storytelling can serve as powerful diplomatic tools. When these initiatives are combined with authenticity, they help strengthen relationships between countries. I enjoy devel"&amp;"oping ideas that make communication more engaging. For me, creativity means finding simple yet effective ways to connect with people, encourage dialogue, and present important messages in a way that resonates with different audiences. If given the opportu"&amp;"nity, I would create public diplomacy initiatives that blend cultural exchange and youth engagement. Empowering young people to share their stories and collaborate is one of the most effective ways to build a more peaceful and inclusive community.")</f>
        <v>I consider myself a creative person because I love exploring new ideas and experiences, as well as discovering different perspectives on the world. My curiosity allows me to find almost everything interesting, making me feel like an explorer. To me, creativity involves being open-minded, adventurous, curious, and willing to step outside my comfort zone. In the context of public diplomacy, creativity is crucial for engaging diverse audiences and making international cooperation more accessible. Initiatives such as social media campaigns, cultural festivals, educational exchanges, and storytelling can serve as powerful diplomatic tools. When these initiatives are combined with authenticity, they help strengthen relationships between countries. I enjoy developing ideas that make communication more engaging. For me, creativity means finding simple yet effective ways to connect with people, encourage dialogue, and present important messages in a way that resonates with different audiences. If given the opportunity, I would create public diplomacy initiatives that blend cultural exchange and youth engagement. Empowering young people to share their stories and collaborate is one of the most effective ways to build a more peaceful and inclusive community.</v>
      </c>
      <c r="AS107" s="61" t="str">
        <f>IFERROR(__xludf.DUMMYFUNCTION("""COMPUTED_VALUE"""),"Yes")</f>
        <v>Yes</v>
      </c>
      <c r="AT107" s="61" t="str">
        <f>IFERROR(__xludf.DUMMYFUNCTION("""COMPUTED_VALUE"""),"Yes")</f>
        <v>Yes</v>
      </c>
      <c r="AU107" s="61" t="str">
        <f>IFERROR(__xludf.DUMMYFUNCTION("""COMPUTED_VALUE"""),"Global Politics, Diplomacy &amp; Identities")</f>
        <v>Global Politics, Diplomacy &amp; Identities</v>
      </c>
      <c r="AV107" s="61" t="str">
        <f>IFERROR(__xludf.DUMMYFUNCTION("""COMPUTED_VALUE"""),"A friend recommended the program to me")</f>
        <v>A friend recommended the program to me</v>
      </c>
      <c r="AW107" s="61" t="str">
        <f>IFERROR(__xludf.DUMMYFUNCTION("""COMPUTED_VALUE"""),"The Youth Innovation &amp; Policy Labs")</f>
        <v>The Youth Innovation &amp; Policy Labs</v>
      </c>
      <c r="AX107" s="66" t="str">
        <f>IFERROR(__xludf.DUMMYFUNCTION("""COMPUTED_VALUE"""),"Yes")</f>
        <v>Yes</v>
      </c>
      <c r="AY107" s="66">
        <f>IFERROR(__xludf.DUMMYFUNCTION("""COMPUTED_VALUE"""),15.99)</f>
        <v>15.99</v>
      </c>
      <c r="AZ107" s="61"/>
      <c r="BA107" s="61"/>
      <c r="BB107" s="61"/>
      <c r="BC107" s="61"/>
      <c r="BD107" s="61"/>
      <c r="BE107" s="61"/>
      <c r="BF107" s="61"/>
      <c r="BG107" s="61"/>
      <c r="BH107" s="61"/>
      <c r="BI107" s="61"/>
      <c r="BJ107" s="61"/>
      <c r="BK107" s="61"/>
      <c r="BL107" s="61"/>
      <c r="BM107" s="61"/>
      <c r="BN107" s="61"/>
      <c r="BO107" s="61"/>
      <c r="BP107" s="61"/>
      <c r="BQ107" s="61"/>
      <c r="BR107" s="61"/>
    </row>
    <row r="108" ht="15.75" customHeight="1">
      <c r="A108" s="61" t="str">
        <f>IFERROR(__xludf.DUMMYFUNCTION("""COMPUTED_VALUE"""),"Self")</f>
        <v>Self</v>
      </c>
      <c r="B108" s="62">
        <f>IFERROR(__xludf.DUMMYFUNCTION("""COMPUTED_VALUE"""),129.0)</f>
        <v>129</v>
      </c>
      <c r="C108" s="61" t="str">
        <f>IFERROR(__xludf.DUMMYFUNCTION("""COMPUTED_VALUE"""),"Self")</f>
        <v>Self</v>
      </c>
      <c r="D108" s="63" t="str">
        <f>IFERROR(__xludf.DUMMYFUNCTION("""COMPUTED_VALUE"""),"Submitted")</f>
        <v>Submitted</v>
      </c>
      <c r="E108" s="63">
        <f>IFERROR(__xludf.DUMMYFUNCTION("""COMPUTED_VALUE"""),46208.71180555555)</f>
        <v>46208.71181</v>
      </c>
      <c r="F108" s="61" t="str">
        <f>IFERROR(__xludf.DUMMYFUNCTION("""COMPUTED_VALUE"""),"MAHMOUD NOUREDDIN ASLAN")</f>
        <v>MAHMOUD NOUREDDIN ASLAN</v>
      </c>
      <c r="G108" s="61" t="str">
        <f>IFERROR(__xludf.DUMMYFUNCTION("""COMPUTED_VALUE"""),"MAHMOUD NOUREDDIN ASLAN")</f>
        <v>MAHMOUD NOUREDDIN ASLAN</v>
      </c>
      <c r="H108" s="61" t="str">
        <f>IFERROR(__xludf.DUMMYFUNCTION("""COMPUTED_VALUE"""),"Mahmoudnoureddinaslan@gmail.com")</f>
        <v>Mahmoudnoureddinaslan@gmail.com</v>
      </c>
      <c r="I108" s="61" t="str">
        <f>IFERROR(__xludf.DUMMYFUNCTION("""COMPUTED_VALUE"""),"mahmoudshaaban1985@yahoo.com")</f>
        <v>mahmoudshaaban1985@yahoo.com</v>
      </c>
      <c r="J108" s="61" t="str">
        <f>IFERROR(__xludf.DUMMYFUNCTION("""COMPUTED_VALUE"""),"Namik Kemal Mah, 112 s.K, binaa 32, Daire 5, Esenyurt, İstanbul, Istanbul, Türkiye")</f>
        <v>Namik Kemal Mah, 112 s.K, binaa 32, Daire 5, Esenyurt, İstanbul, Istanbul, Türkiye</v>
      </c>
      <c r="K108" s="61" t="str">
        <f>IFERROR(__xludf.DUMMYFUNCTION("""COMPUTED_VALUE"""),"Turkish")</f>
        <v>Turkish</v>
      </c>
      <c r="L108" s="64" t="str">
        <f>IFERROR(__xludf.DUMMYFUNCTION("""COMPUTED_VALUE"""),"+905550056522")</f>
        <v>+905550056522</v>
      </c>
      <c r="M108" s="64">
        <f>IFERROR(__xludf.DUMMYFUNCTION("""COMPUTED_VALUE"""),31092.0)</f>
        <v>31092</v>
      </c>
      <c r="N108" s="61" t="str">
        <f>IFERROR(__xludf.DUMMYFUNCTION("""COMPUTED_VALUE"""),"U25060209")</f>
        <v>U25060209</v>
      </c>
      <c r="O108" s="61" t="str">
        <f>IFERROR(__xludf.DUMMYFUNCTION("""COMPUTED_VALUE"""),"+90 538 643 02 22")</f>
        <v>+90 538 643 02 22</v>
      </c>
      <c r="P108" s="61"/>
      <c r="Q108" s="65" t="str">
        <f>IFERROR(__xludf.DUMMYFUNCTION("""COMPUTED_VALUE"""),"https://www.instagram.com/mahmoud198500?igsh=MWRmOTkxeGt1cG02aQ%3D%3D&amp;utm_source=qr")</f>
        <v>https://www.instagram.com/mahmoud198500?igsh=MWRmOTkxeGt1cG02aQ%3D%3D&amp;utm_source=qr</v>
      </c>
      <c r="R108" s="65" t="str">
        <f>IFERROR(__xludf.DUMMYFUNCTION("""COMPUTED_VALUE"""),"https://www.facebook.com/share/14gSSwm6BGu/?mibextid=wwXIfr")</f>
        <v>https://www.facebook.com/share/14gSSwm6BGu/?mibextid=wwXIfr</v>
      </c>
      <c r="S108" s="61" t="str">
        <f>IFERROR(__xludf.DUMMYFUNCTION("""COMPUTED_VALUE"""),"Mahmoud’s Passport .pdf")</f>
        <v>Mahmoud’s Passport .pdf</v>
      </c>
      <c r="T108" s="61" t="str">
        <f>IFERROR(__xludf.DUMMYFUNCTION("""COMPUTED_VALUE"""),"Photo .pdf")</f>
        <v>Photo .pdf</v>
      </c>
      <c r="U108" s="61" t="str">
        <f>IFERROR(__xludf.DUMMYFUNCTION("""COMPUTED_VALUE"""),"PhD")</f>
        <v>PhD</v>
      </c>
      <c r="V108" s="61" t="str">
        <f>IFERROR(__xludf.DUMMYFUNCTION("""COMPUTED_VALUE"""),"PhD student")</f>
        <v>PhD student</v>
      </c>
      <c r="W108" s="61" t="str">
        <f>IFERROR(__xludf.DUMMYFUNCTION("""COMPUTED_VALUE"""),"Islamic studies, Islamic political thought")</f>
        <v>Islamic studies, Islamic political thought</v>
      </c>
      <c r="X108" s="61" t="str">
        <f>IFERROR(__xludf.DUMMYFUNCTION("""COMPUTED_VALUE"""),"Marmara University in Istanbul")</f>
        <v>Marmara University in Istanbul</v>
      </c>
      <c r="Y108" s="61" t="str">
        <f>IFERROR(__xludf.DUMMYFUNCTION("""COMPUTED_VALUE"""),"Yes")</f>
        <v>Yes</v>
      </c>
      <c r="Z108" s="61" t="str">
        <f>IFERROR(__xludf.DUMMYFUNCTION("""COMPUTED_VALUE"""),"Turkey")</f>
        <v>Turkey</v>
      </c>
      <c r="AA108" s="61" t="str">
        <f>IFERROR(__xludf.DUMMYFUNCTION("""COMPUTED_VALUE"""),"No")</f>
        <v>No</v>
      </c>
      <c r="AB108" s="61"/>
      <c r="AC108" s="61" t="str">
        <f>IFERROR(__xludf.DUMMYFUNCTION("""COMPUTED_VALUE"""),"Yes")</f>
        <v>Yes</v>
      </c>
      <c r="AD108" s="61" t="str">
        <f>IFERROR(__xludf.DUMMYFUNCTION("""COMPUTED_VALUE"""),"Unity yardım vakfı")</f>
        <v>Unity yardım vakfı</v>
      </c>
      <c r="AE108" s="65" t="str">
        <f>IFERROR(__xludf.DUMMYFUNCTION("""COMPUTED_VALUE"""),"https://unityyardimvakfi.org/index.php?lang=tr")</f>
        <v>https://unityyardimvakfi.org/index.php?lang=tr</v>
      </c>
      <c r="AF108" s="61" t="str">
        <f>IFERROR(__xludf.DUMMYFUNCTION("""COMPUTED_VALUE"""),"Executive Director")</f>
        <v>Executive Director</v>
      </c>
      <c r="AG108" s="61" t="str">
        <f>IFERROR(__xludf.DUMMYFUNCTION("""COMPUTED_VALUE"""),"5")</f>
        <v>5</v>
      </c>
      <c r="AH108" s="61" t="str">
        <f>IFERROR(__xludf.DUMMYFUNCTION("""COMPUTED_VALUE"""),"No")</f>
        <v>No</v>
      </c>
      <c r="AI108" s="61" t="str">
        <f>IFERROR(__xludf.DUMMYFUNCTION("""COMPUTED_VALUE"""),"Communication and coordination with other institutions, and project supervision")</f>
        <v>Communication and coordination with other institutions, and project supervision</v>
      </c>
      <c r="AJ108" s="61" t="str">
        <f>IFERROR(__xludf.DUMMYFUNCTION("""COMPUTED_VALUE"""),"Rawahil Educational Foundation")</f>
        <v>Rawahil Educational Foundation</v>
      </c>
      <c r="AK108" s="61" t="str">
        <f>IFERROR(__xludf.DUMMYFUNCTION("""COMPUTED_VALUE"""),"Contributing to the education and development of student leaders and cadres")</f>
        <v>Contributing to the education and development of student leaders and cadres</v>
      </c>
      <c r="AL108" s="61" t="str">
        <f>IFERROR(__xludf.DUMMYFUNCTION("""COMPUTED_VALUE"""),"Public speaking, lecturing, leading work teams, educational supervision, public relations, scientific and academic research, volunteer and relief work")</f>
        <v>Public speaking, lecturing, leading work teams, educational supervision, public relations, scientific and academic research, volunteer and relief work</v>
      </c>
      <c r="AM108" s="61" t="str">
        <f>IFERROR(__xludf.DUMMYFUNCTION("""COMPUTED_VALUE"""),"CV English.pdf")</f>
        <v>CV English.pdf</v>
      </c>
      <c r="AN108" s="61" t="str">
        <f>IFERROR(__xludf.DUMMYFUNCTION("""COMPUTED_VALUE"""),"Yes, I have always believed that meaningful change begins with individual action. I believe that change begins with education and building effective and influential young leaders in their communities.
Although one person cannot solve every global challeng"&amp;"e, everyone can positively influence their community. I have participated in volunteer activities, supported educational initiatives, and encouraged young people around me to develop new skills and think critically. I also enjoy sharing knowledge through "&amp;"discussions and social media to promote understanding, tolerance, and personal growth. These experiences have taught me that lasting change is built through consistency, empathy, and collaboration. My goal is to continue contributing to society while insp"&amp;"iring others to become active and responsible global citizens.")</f>
        <v>Yes, I have always believed that meaningful change begins with individual action. I believe that change begins with education and building effective and influential young leaders in their communities.
Although one person cannot solve every global challenge, everyone can positively influence their community. I have participated in volunteer activities, supported educational initiatives, and encouraged young people around me to develop new skills and think critically. I also enjoy sharing knowledge through discussions and social media to promote understanding, tolerance, and personal growth. These experiences have taught me that lasting change is built through consistency, empathy, and collaboration. My goal is to continue contributing to society while inspiring others to become active and responsible global citizens.</v>
      </c>
      <c r="AO108" s="61" t="str">
        <f>IFERROR(__xludf.DUMMYFUNCTION("""COMPUTED_VALUE"""),"I believe that in recent years Türkiye has become a diplomatic country and plays a remarkable role in mediating between nations and ending wars, and in its international presence, especially in the Middle East and the Balkans.
And I believe Switzerland i"&amp;"s one of the most diplomatically significant countries in the world. Its long-standing policy of neutrality has allowed it to host important international organizations and peace negotiations. Geneva serves as a global center for diplomacy, where governme"&amp;"nts, international institutions, and humanitarian organizations work together to address global challenges. Switzerland demonstrates how trust, stability, and dialogue can contribute to international peace and cooperation. While many countries play import"&amp;"ant diplomatic roles, Switzerland’s commitment to mediation and multilateral engagement makes it a unique example of how diplomacy can build bridges between nations and promote peaceful solutions.")</f>
        <v>I believe that in recent years Türkiye has become a diplomatic country and plays a remarkable role in mediating between nations and ending wars, and in its international presence, especially in the Middle East and the Balkans.
And I believe Switzerland is one of the most diplomatically significant countries in the world. Its long-standing policy of neutrality has allowed it to host important international organizations and peace negotiations. Geneva serves as a global center for diplomacy, where governments, international institutions, and humanitarian organizations work together to address global challenges. Switzerland demonstrates how trust, stability, and dialogue can contribute to international peace and cooperation. While many countries play important diplomatic roles, Switzerland’s commitment to mediation and multilateral engagement makes it a unique example of how diplomacy can build bridges between nations and promote peaceful solutions.</v>
      </c>
      <c r="AP108" s="61" t="str">
        <f>IFERROR(__xludf.DUMMYFUNCTION("""COMPUTED_VALUE"""),"Young people have a vital role in shaping the future of diplomacy. They bring fresh ideas, creativity, and a willingness to embrace diversity and innovation. In today’s interconnected world, diplomacy is no longer limited to governments. Youth can contrib"&amp;"ute by promoting intercultural dialogue, participating in international exchanges, using digital platforms responsibly, and building relationships across borders.
Public diplomacy is especially important because it focuses on communication between societ"&amp;"ies rather than only between governments. It helps create mutual understanding, reduce stereotypes, and strengthen international cooperation through education, culture, and people-to-people connections.
I relate strongly to the concept of public diplomac"&amp;"y because I believe communication and cultural understanding are powerful tools for peace. I enjoy learning about different cultures, exchanging ideas with people from diverse backgrounds, and encouraging respectful dialogue. I believe that every conversa"&amp;"tion has the potential to build trust and create positive change. By participating in international programs, developing leadership skills, and promoting cooperation, I hope to contribute to stronger global relationships. I see public diplomacy as an oppo"&amp;"rtunity to become a bridge between cultures while supporting mutual respect, collaboration, and sustainable development in an increasingly connected world.")</f>
        <v>Young people have a vital role in shaping the future of diplomacy. They bring fresh ideas, creativity, and a willingness to embrace diversity and innovation. In today’s interconnected world, diplomacy is no longer limited to governments. Youth can contribute by promoting intercultural dialogue, participating in international exchanges, using digital platforms responsibly, and building relationships across borders.
Public diplomacy is especially important because it focuses on communication between societies rather than only between governments. It helps create mutual understanding, reduce stereotypes, and strengthen international cooperation through education, culture, and people-to-people connections.
I relate strongly to the concept of public diplomacy because I believe communication and cultural understanding are powerful tools for peace. I enjoy learning about different cultures, exchanging ideas with people from diverse backgrounds, and encouraging respectful dialogue. I believe that every conversation has the potential to build trust and create positive change. By participating in international programs, developing leadership skills, and promoting cooperation, I hope to contribute to stronger global relationships. I see public diplomacy as an opportunity to become a bridge between cultures while supporting mutual respect, collaboration, and sustainable development in an increasingly connected world.</v>
      </c>
      <c r="AQ108" s="61" t="str">
        <f>IFERROR(__xludf.DUMMYFUNCTION("""COMPUTED_VALUE"""),"Passion is the inner motivation that inspires people to pursue their goals with dedication and perseverance. It provides the energy to overcome challenges, continue learning, and remain committed even when progress is slow. Passion is more than enthusiasm"&amp;"; it is a long-term commitment to personal growth and meaningful contribution.
For me, passion motivates me to improve my knowledge, develop leadership skills, and seek opportunities that create positive impact. It encourages me to remain curious, embrac"&amp;"e new experiences, and work consistently toward my objectives. Passion also helps me stay resilient during difficult moments because it reminds me why my goals are important. I believe that when passion is combined with discipline, hard work, and a willin"&amp;"gness to learn, it becomes a powerful force for success. It allows individuals not only to achieve personal ambitions but also to make valuable contributions to their communities and society.")</f>
        <v>Passion is the inner motivation that inspires people to pursue their goals with dedication and perseverance. It provides the energy to overcome challenges, continue learning, and remain committed even when progress is slow. Passion is more than enthusiasm; it is a long-term commitment to personal growth and meaningful contribution.
For me, passion motivates me to improve my knowledge, develop leadership skills, and seek opportunities that create positive impact. It encourages me to remain curious, embrace new experiences, and work consistently toward my objectives. Passion also helps me stay resilient during difficult moments because it reminds me why my goals are important. I believe that when passion is combined with discipline, hard work, and a willingness to learn, it becomes a powerful force for success. It allows individuals not only to achieve personal ambitions but also to make valuable contributions to their communities and society.</v>
      </c>
      <c r="AR108" s="61" t="str">
        <f>IFERROR(__xludf.DUMMYFUNCTION("""COMPUTED_VALUE"""),"Yes, I consider myself a creative person because I enjoy finding innovative solutions to challenges and exploring new ways to communicate ideas. Creativity is an essential skill in public diplomacy because it helps engage diverse audiences and encourages "&amp;"meaningful dialogue across cultures.
If given the opportunity, I would use creativity to design public diplomacy initiatives that combine storytelling, digital media, cultural exchange, and community engagement. For example, social media campaigns highli"&amp;"ghting shared human values, virtual cultural events, and collaborative youth projects can strengthen international understanding and reduce cultural misconceptions. Creative communication makes diplomacy more accessible, especially for young people who ac"&amp;"tively engage through digital platforms.
I also believe that listening is an important part of creativity. Understanding different perspectives allows diplomats and community leaders to develop messages that are respectful, inclusive, and relevant. By en"&amp;"couraging open conversations and cultural collaboration, creative public diplomacy can build trust and strengthen relationships between societies.
Ultimately, creativity transforms diplomacy from formal dialogue into meaningful human connection. I hope t"&amp;"o use my creativity to promote mutual respect, inspire cooperation, and contribute to peaceful international relations through innovative ideas that bring people together despite differences.")</f>
        <v>Yes, I consider myself a creative person because I enjoy finding innovative solutions to challenges and exploring new ways to communicate ideas. Creativity is an essential skill in public diplomacy because it helps engage diverse audiences and encourages meaningful dialogue across cultures.
If given the opportunity, I would use creativity to design public diplomacy initiatives that combine storytelling, digital media, cultural exchange, and community engagement. For example, social media campaigns highlighting shared human values, virtual cultural events, and collaborative youth projects can strengthen international understanding and reduce cultural misconceptions. Creative communication makes diplomacy more accessible, especially for young people who actively engage through digital platforms.
I also believe that listening is an important part of creativity. Understanding different perspectives allows diplomats and community leaders to develop messages that are respectful, inclusive, and relevant. By encouraging open conversations and cultural collaboration, creative public diplomacy can build trust and strengthen relationships between societies.
Ultimately, creativity transforms diplomacy from formal dialogue into meaningful human connection. I hope to use my creativity to promote mutual respect, inspire cooperation, and contribute to peaceful international relations through innovative ideas that bring people together despite differences.</v>
      </c>
      <c r="AS108" s="61" t="str">
        <f>IFERROR(__xludf.DUMMYFUNCTION("""COMPUTED_VALUE"""),"Yes")</f>
        <v>Yes</v>
      </c>
      <c r="AT108" s="61" t="str">
        <f>IFERROR(__xludf.DUMMYFUNCTION("""COMPUTED_VALUE"""),"Yes")</f>
        <v>Yes</v>
      </c>
      <c r="AU108" s="61" t="str">
        <f>IFERROR(__xludf.DUMMYFUNCTION("""COMPUTED_VALUE"""),"International Public Service Relations")</f>
        <v>International Public Service Relations</v>
      </c>
      <c r="AV108" s="61" t="str">
        <f>IFERROR(__xludf.DUMMYFUNCTION("""COMPUTED_VALUE"""),"Through social media and one of my friends")</f>
        <v>Through social media and one of my friends</v>
      </c>
      <c r="AW108" s="61" t="str">
        <f>IFERROR(__xludf.DUMMYFUNCTION("""COMPUTED_VALUE"""),"* Public Diplomacy and International Relations, because it combines intercultural communication, leadership, and practical diplomatic skills that are essential for addressing today’s global challenges.")</f>
        <v>* Public Diplomacy and International Relations, because it combines intercultural communication, leadership, and practical diplomatic skills that are essential for addressing today’s global challenges.</v>
      </c>
      <c r="AX108" s="66" t="str">
        <f>IFERROR(__xludf.DUMMYFUNCTION("""COMPUTED_VALUE"""),"Yes")</f>
        <v>Yes</v>
      </c>
      <c r="AY108" s="66">
        <f>IFERROR(__xludf.DUMMYFUNCTION("""COMPUTED_VALUE"""),15.99)</f>
        <v>15.99</v>
      </c>
      <c r="AZ108" s="61"/>
      <c r="BA108" s="61"/>
      <c r="BB108" s="61"/>
      <c r="BC108" s="61"/>
      <c r="BD108" s="61"/>
      <c r="BE108" s="61"/>
      <c r="BF108" s="61"/>
      <c r="BG108" s="61"/>
      <c r="BH108" s="61"/>
      <c r="BI108" s="61"/>
      <c r="BJ108" s="61"/>
      <c r="BK108" s="61"/>
      <c r="BL108" s="61"/>
      <c r="BM108" s="61"/>
      <c r="BN108" s="61"/>
      <c r="BO108" s="61"/>
      <c r="BP108" s="61"/>
      <c r="BQ108" s="61"/>
      <c r="BR108" s="61"/>
    </row>
    <row r="109" ht="15.75" customHeight="1">
      <c r="A109" s="61" t="str">
        <f>IFERROR(__xludf.DUMMYFUNCTION("""COMPUTED_VALUE"""),"Self")</f>
        <v>Self</v>
      </c>
      <c r="B109" s="62">
        <f>IFERROR(__xludf.DUMMYFUNCTION("""COMPUTED_VALUE"""),130.0)</f>
        <v>130</v>
      </c>
      <c r="C109" s="61" t="str">
        <f>IFERROR(__xludf.DUMMYFUNCTION("""COMPUTED_VALUE"""),"Self")</f>
        <v>Self</v>
      </c>
      <c r="D109" s="63" t="str">
        <f>IFERROR(__xludf.DUMMYFUNCTION("""COMPUTED_VALUE"""),"Submitted")</f>
        <v>Submitted</v>
      </c>
      <c r="E109" s="63">
        <f>IFERROR(__xludf.DUMMYFUNCTION("""COMPUTED_VALUE"""),46208.72222222222)</f>
        <v>46208.72222</v>
      </c>
      <c r="F109" s="61" t="str">
        <f>IFERROR(__xludf.DUMMYFUNCTION("""COMPUTED_VALUE"""),"SHAFEI MAHMOUD")</f>
        <v>SHAFEI MAHMOUD</v>
      </c>
      <c r="G109" s="61" t="str">
        <f>IFERROR(__xludf.DUMMYFUNCTION("""COMPUTED_VALUE"""),"SHAFEI MAHMOUD")</f>
        <v>SHAFEI MAHMOUD</v>
      </c>
      <c r="H109" s="61" t="str">
        <f>IFERROR(__xludf.DUMMYFUNCTION("""COMPUTED_VALUE"""),"mahmoudelshafei.com@gmail.com")</f>
        <v>mahmoudelshafei.com@gmail.com</v>
      </c>
      <c r="I109" s="61" t="str">
        <f>IFERROR(__xludf.DUMMYFUNCTION("""COMPUTED_VALUE"""),"mahmoudabouelhamd.com@gmail.com")</f>
        <v>mahmoudabouelhamd.com@gmail.com</v>
      </c>
      <c r="J109" s="61" t="str">
        <f>IFERROR(__xludf.DUMMYFUNCTION("""COMPUTED_VALUE"""),"Kigali, Kigali, Rwanda")</f>
        <v>Kigali, Kigali, Rwanda</v>
      </c>
      <c r="K109" s="61" t="str">
        <f>IFERROR(__xludf.DUMMYFUNCTION("""COMPUTED_VALUE"""),"Rwandan")</f>
        <v>Rwandan</v>
      </c>
      <c r="L109" s="64" t="str">
        <f>IFERROR(__xludf.DUMMYFUNCTION("""COMPUTED_VALUE"""),"+250788300458")</f>
        <v>+250788300458</v>
      </c>
      <c r="M109" s="64">
        <f>IFERROR(__xludf.DUMMYFUNCTION("""COMPUTED_VALUE"""),31261.0)</f>
        <v>31261</v>
      </c>
      <c r="N109" s="61" t="str">
        <f>IFERROR(__xludf.DUMMYFUNCTION("""COMPUTED_VALUE"""),"PC876398")</f>
        <v>PC876398</v>
      </c>
      <c r="O109" s="61" t="str">
        <f>IFERROR(__xludf.DUMMYFUNCTION("""COMPUTED_VALUE"""),"+250783459332")</f>
        <v>+250783459332</v>
      </c>
      <c r="P109" s="61"/>
      <c r="Q109" s="61"/>
      <c r="R109" s="61"/>
      <c r="S109" s="61" t="str">
        <f>IFERROR(__xludf.DUMMYFUNCTION("""COMPUTED_VALUE"""),"PASSPORT RW.pdf")</f>
        <v>PASSPORT RW.pdf</v>
      </c>
      <c r="T109" s="61" t="str">
        <f>IFERROR(__xludf.DUMMYFUNCTION("""COMPUTED_VALUE"""),"Passport photo .PNG")</f>
        <v>Passport photo .PNG</v>
      </c>
      <c r="U109" s="61" t="str">
        <f>IFERROR(__xludf.DUMMYFUNCTION("""COMPUTED_VALUE"""),"Researcher in Islamic Law")</f>
        <v>Researcher in Islamic Law</v>
      </c>
      <c r="V109" s="61" t="str">
        <f>IFERROR(__xludf.DUMMYFUNCTION("""COMPUTED_VALUE"""),"Bachelor's Degree in Islamic Studies - Al-Azhar University")</f>
        <v>Bachelor's Degree in Islamic Studies - Al-Azhar University</v>
      </c>
      <c r="W109" s="61" t="str">
        <f>IFERROR(__xludf.DUMMYFUNCTION("""COMPUTED_VALUE"""),"Researcher in the principles of Islamic jurisprudence")</f>
        <v>Researcher in the principles of Islamic jurisprudence</v>
      </c>
      <c r="X109" s="61" t="str">
        <f>IFERROR(__xludf.DUMMYFUNCTION("""COMPUTED_VALUE"""),"Al-Azhar University")</f>
        <v>Al-Azhar University</v>
      </c>
      <c r="Y109" s="61" t="str">
        <f>IFERROR(__xludf.DUMMYFUNCTION("""COMPUTED_VALUE"""),"Yes")</f>
        <v>Yes</v>
      </c>
      <c r="Z109" s="61"/>
      <c r="AA109" s="61" t="str">
        <f>IFERROR(__xludf.DUMMYFUNCTION("""COMPUTED_VALUE"""),"Yes")</f>
        <v>Yes</v>
      </c>
      <c r="AB109" s="61"/>
      <c r="AC109" s="61" t="str">
        <f>IFERROR(__xludf.DUMMYFUNCTION("""COMPUTED_VALUE"""),"Yes")</f>
        <v>Yes</v>
      </c>
      <c r="AD109" s="61" t="str">
        <f>IFERROR(__xludf.DUMMYFUNCTION("""COMPUTED_VALUE"""),"Al-Hidayah Islamic Institute")</f>
        <v>Al-Hidayah Islamic Institute</v>
      </c>
      <c r="AE109" s="61"/>
      <c r="AF109" s="61" t="str">
        <f>IFERROR(__xludf.DUMMYFUNCTION("""COMPUTED_VALUE"""),"I am an Imam and Khateeb, Academic Lecturer, and Lecturer of Usul al-Fiqh. My responsibilities include teaching Islamic studies, conducting research, delivering lectures and sermons, mentoring students, and promoting education, ethical leadership, and com"&amp;"munity development")</f>
        <v>I am an Imam and Khateeb, Academic Lecturer, and Lecturer of Usul al-Fiqh. My responsibilities include teaching Islamic studies, conducting research, delivering lectures and sermons, mentoring students, and promoting education, ethical leadership, and community development</v>
      </c>
      <c r="AG109" s="61" t="str">
        <f>IFERROR(__xludf.DUMMYFUNCTION("""COMPUTED_VALUE"""),"15 years")</f>
        <v>15 years</v>
      </c>
      <c r="AH109" s="61" t="str">
        <f>IFERROR(__xludf.DUMMYFUNCTION("""COMPUTED_VALUE"""),"Yes")</f>
        <v>Yes</v>
      </c>
      <c r="AI109" s="61"/>
      <c r="AJ109" s="61"/>
      <c r="AK109" s="61"/>
      <c r="AL109" s="61"/>
      <c r="AM109" s="61" t="str">
        <f>IFERROR(__xludf.DUMMYFUNCTION("""COMPUTED_VALUE"""),"SHAFEI Mahmoud Academic CV Professional.pdf")</f>
        <v>SHAFEI Mahmoud Academic CV Professional.pdf</v>
      </c>
      <c r="AN109" s="61" t="str">
        <f>IFERROR(__xludf.DUMMYFUNCTION("""COMPUTED_VALUE"""),"Yes. I believe that changing the world begins with changing the lives of people around us. Throughout my career, I have dedicated myself to education, community service, and leadership. As an Imam, academic lecturer, and trainer, I have mentored young peo"&amp;"ple, promoted dialogue, encouraged critical thinking, and inspired ethical leadership. I have also participated in community initiatives that support education, social responsibility, and peaceful coexistence. Rather than waiting for large opportunities, "&amp;"I focus on making a positive difference every day through knowledge, compassion, and service. Small, consistent actions create meaningful and lasting impact.")</f>
        <v>Yes. I believe that changing the world begins with changing the lives of people around us. Throughout my career, I have dedicated myself to education, community service, and leadership. As an Imam, academic lecturer, and trainer, I have mentored young people, promoted dialogue, encouraged critical thinking, and inspired ethical leadership. I have also participated in community initiatives that support education, social responsibility, and peaceful coexistence. Rather than waiting for large opportunities, I focus on making a positive difference every day through knowledge, compassion, and service. Small, consistent actions create meaningful and lasting impact.</v>
      </c>
      <c r="AO109" s="61" t="str">
        <f>IFERROR(__xludf.DUMMYFUNCTION("""COMPUTED_VALUE"""),"In my opinion, there is no single country that defines global diplomacy. However, countries such as Switzerland stand out because of their long tradition of neutrality, mediation, and hosting international organizations. The United States also plays a sig"&amp;"nificant diplomatic role through its influence on global security, economics, and international institutions. At the same time, emerging countries like Rwanda demonstrate how effective leadership, reconciliation, and regional cooperation can positively sh"&amp;"ape international diplomacy. Ultimately, diplomatic significance is measured not only by power but by the ability to promote peace, dialogue, development, and cooperation among nations.")</f>
        <v>In my opinion, there is no single country that defines global diplomacy. However, countries such as Switzerland stand out because of their long tradition of neutrality, mediation, and hosting international organizations. The United States also plays a significant diplomatic role through its influence on global security, economics, and international institutions. At the same time, emerging countries like Rwanda demonstrate how effective leadership, reconciliation, and regional cooperation can positively shape international diplomacy. Ultimately, diplomatic significance is measured not only by power but by the ability to promote peace, dialogue, development, and cooperation among nations.</v>
      </c>
      <c r="AP109" s="61" t="str">
        <f>IFERROR(__xludf.DUMMYFUNCTION("""COMPUTED_VALUE"""),"Young people are essential drivers of modern diplomacy. They bring fresh perspectives, creativity, technological knowledge, and the ability to connect across cultures. In today’s interconnected world, diplomacy is no longer limited to governments; young l"&amp;"eaders, educators, entrepreneurs, and civil society members all contribute to building international understanding.
Public diplomacy focuses on strengthening relationships between people rather than only between governments. It promotes mutual respect, c"&amp;"ultural exchange, dialogue, and cooperation. I strongly relate to this concept because my work has always centered on education, communication, and community engagement. As an academic lecturer, Imam, and trainer, I have worked with diverse audiences to e"&amp;"ncourage tolerance, ethical leadership, and peaceful coexistence.
I believe public diplomacy begins with listening, respecting different perspectives, and building trust. Whether through education, intercultural dialogue, humanitarian initiatives, or dig"&amp;"ital communication, young people can become ambassadors of peace within their communities and internationally.
My goal is to contribute to diplomacy by using education as a bridge between cultures, encouraging constructive dialogue, and promoting shared "&amp;"values that unite people despite their differences. I believe knowledge, empathy, and cooperation are the foundations of sustainable peace and successful diplomacy.")</f>
        <v>Young people are essential drivers of modern diplomacy. They bring fresh perspectives, creativity, technological knowledge, and the ability to connect across cultures. In today’s interconnected world, diplomacy is no longer limited to governments; young leaders, educators, entrepreneurs, and civil society members all contribute to building international understanding.
Public diplomacy focuses on strengthening relationships between people rather than only between governments. It promotes mutual respect, cultural exchange, dialogue, and cooperation. I strongly relate to this concept because my work has always centered on education, communication, and community engagement. As an academic lecturer, Imam, and trainer, I have worked with diverse audiences to encourage tolerance, ethical leadership, and peaceful coexistence.
I believe public diplomacy begins with listening, respecting different perspectives, and building trust. Whether through education, intercultural dialogue, humanitarian initiatives, or digital communication, young people can become ambassadors of peace within their communities and internationally.
My goal is to contribute to diplomacy by using education as a bridge between cultures, encouraging constructive dialogue, and promoting shared values that unite people despite their differences. I believe knowledge, empathy, and cooperation are the foundations of sustainable peace and successful diplomacy.</v>
      </c>
      <c r="AQ109" s="61" t="str">
        <f>IFERROR(__xludf.DUMMYFUNCTION("""COMPUTED_VALUE"""),"Passion is the inner motivation that gives purpose to our work and keeps us committed despite challenges. It transforms responsibilities into meaningful opportunities for growth and service. For me, passion comes from my commitment to education, leadershi"&amp;"p, and helping others develop their potential.
Passion has helped me remain dedicated to academic research, teaching, public speaking, and community service for many years. It encourages continuous learning, resilience, and self-improvement. Whenever I f"&amp;"ace obstacles, passion reminds me why I started and motivates me to keep moving forward.
I believe that success is not achieved through talent alone but through consistent effort driven by genuine passion. When passion is combined with discipline, integr"&amp;"ity, and a clear vision, it becomes a powerful force that enables individuals to achieve meaningful goals and create lasting positive change.")</f>
        <v>Passion is the inner motivation that gives purpose to our work and keeps us committed despite challenges. It transforms responsibilities into meaningful opportunities for growth and service. For me, passion comes from my commitment to education, leadership, and helping others develop their potential.
Passion has helped me remain dedicated to academic research, teaching, public speaking, and community service for many years. It encourages continuous learning, resilience, and self-improvement. Whenever I face obstacles, passion reminds me why I started and motivates me to keep moving forward.
I believe that success is not achieved through talent alone but through consistent effort driven by genuine passion. When passion is combined with discipline, integrity, and a clear vision, it becomes a powerful force that enables individuals to achieve meaningful goals and create lasting positive change.</v>
      </c>
      <c r="AR109" s="61" t="str">
        <f>IFERROR(__xludf.DUMMYFUNCTION("""COMPUTED_VALUE"""),"Yes, I consider myself a creative person because I enjoy finding innovative ways to communicate ideas, solve problems, and connect with people from different backgrounds. Creativity is not only about generating new ideas; it is also about presenting famil"&amp;"iar ideas in ways that inspire understanding and cooperation.
In public diplomacy, creativity plays a vital role in building positive relationships between societies. Innovative educational programs, cultural exchanges, digital storytelling, social media"&amp;" campaigns, and community initiatives can strengthen mutual understanding and reduce stereotypes. Creative communication makes diplomacy more accessible and engaging, especially for young people.
As an educator and public speaker, I have learned that eff"&amp;"ective communication requires adapting messages to different audiences while respecting cultural diversity. I believe creativity can transform diplomatic goals into meaningful experiences that encourage participation rather than simply delivering informat"&amp;"ion.
An effective public diplomacy strategy should combine education, culture, technology, and dialogue. By encouraging collaboration, promoting shared values, and creating opportunities for intercultural exchange, creativity becomes a practical tool for"&amp;" strengthening international relationships and fostering peace. In today’s world, creative diplomacy is one of the most powerful ways to build trust and long-term cooperation among people and nations.")</f>
        <v>Yes, I consider myself a creative person because I enjoy finding innovative ways to communicate ideas, solve problems, and connect with people from different backgrounds. Creativity is not only about generating new ideas; it is also about presenting familiar ideas in ways that inspire understanding and cooperation.
In public diplomacy, creativity plays a vital role in building positive relationships between societies. Innovative educational programs, cultural exchanges, digital storytelling, social media campaigns, and community initiatives can strengthen mutual understanding and reduce stereotypes. Creative communication makes diplomacy more accessible and engaging, especially for young people.
As an educator and public speaker, I have learned that effective communication requires adapting messages to different audiences while respecting cultural diversity. I believe creativity can transform diplomatic goals into meaningful experiences that encourage participation rather than simply delivering information.
An effective public diplomacy strategy should combine education, culture, technology, and dialogue. By encouraging collaboration, promoting shared values, and creating opportunities for intercultural exchange, creativity becomes a practical tool for strengthening international relationships and fostering peace. In today’s world, creative diplomacy is one of the most powerful ways to build trust and long-term cooperation among people and nations.</v>
      </c>
      <c r="AS109" s="61" t="str">
        <f>IFERROR(__xludf.DUMMYFUNCTION("""COMPUTED_VALUE"""),"Yes")</f>
        <v>Yes</v>
      </c>
      <c r="AT109" s="61" t="str">
        <f>IFERROR(__xludf.DUMMYFUNCTION("""COMPUTED_VALUE"""),"Yes")</f>
        <v>Yes</v>
      </c>
      <c r="AU109" s="61" t="str">
        <f>IFERROR(__xludf.DUMMYFUNCTION("""COMPUTED_VALUE"""),"Global Politics, Diplomacy &amp; Identities")</f>
        <v>Global Politics, Diplomacy &amp; Identities</v>
      </c>
      <c r="AV109" s="61" t="str">
        <f>IFERROR(__xludf.DUMMYFUNCTION("""COMPUTED_VALUE"""),"Through online research and professional networks focusing on international diplomacy, leadership, and global educational opportunities.")</f>
        <v>Through online research and professional networks focusing on international diplomacy, leadership, and global educational opportunities.</v>
      </c>
      <c r="AW109" s="61" t="str">
        <f>IFERROR(__xludf.DUMMYFUNCTION("""COMPUTED_VALUE"""),"Public Diplomacy, Cultural Diplomacy, International Relations, Conflict Resolution, Peacebuilding, Global Leadership, and Intercultural Communication.")</f>
        <v>Public Diplomacy, Cultural Diplomacy, International Relations, Conflict Resolution, Peacebuilding, Global Leadership, and Intercultural Communication.</v>
      </c>
      <c r="AX109" s="66" t="str">
        <f>IFERROR(__xludf.DUMMYFUNCTION("""COMPUTED_VALUE"""),"Yes")</f>
        <v>Yes</v>
      </c>
      <c r="AY109" s="66">
        <f>IFERROR(__xludf.DUMMYFUNCTION("""COMPUTED_VALUE"""),15.99)</f>
        <v>15.99</v>
      </c>
      <c r="AZ109" s="61"/>
      <c r="BA109" s="61"/>
      <c r="BB109" s="61"/>
      <c r="BC109" s="61"/>
      <c r="BD109" s="61"/>
      <c r="BE109" s="61"/>
      <c r="BF109" s="61"/>
      <c r="BG109" s="61"/>
      <c r="BH109" s="61"/>
      <c r="BI109" s="61"/>
      <c r="BJ109" s="61"/>
      <c r="BK109" s="61"/>
      <c r="BL109" s="61"/>
      <c r="BM109" s="61"/>
      <c r="BN109" s="61"/>
      <c r="BO109" s="61"/>
      <c r="BP109" s="61"/>
      <c r="BQ109" s="61"/>
      <c r="BR109" s="61"/>
    </row>
    <row r="110" ht="15.75" customHeight="1">
      <c r="A110" s="61" t="str">
        <f>IFERROR(__xludf.DUMMYFUNCTION("""COMPUTED_VALUE"""),"")</f>
        <v/>
      </c>
      <c r="B110" s="62">
        <f>IFERROR(__xludf.DUMMYFUNCTION("""COMPUTED_VALUE"""),131.0)</f>
        <v>131</v>
      </c>
      <c r="C110" s="61" t="str">
        <f>IFERROR(__xludf.DUMMYFUNCTION("""COMPUTED_VALUE"""),"Self")</f>
        <v>Self</v>
      </c>
      <c r="D110" s="63" t="str">
        <f>IFERROR(__xludf.DUMMYFUNCTION("""COMPUTED_VALUE"""),"Submitted")</f>
        <v>Submitted</v>
      </c>
      <c r="E110" s="63">
        <f>IFERROR(__xludf.DUMMYFUNCTION("""COMPUTED_VALUE"""),46208.75833333333)</f>
        <v>46208.75833</v>
      </c>
      <c r="F110" s="61" t="str">
        <f>IFERROR(__xludf.DUMMYFUNCTION("""COMPUTED_VALUE"""),"Zahra Sheikh")</f>
        <v>Zahra Sheikh</v>
      </c>
      <c r="G110" s="61" t="str">
        <f>IFERROR(__xludf.DUMMYFUNCTION("""COMPUTED_VALUE"""),"Sheikh Zahra")</f>
        <v>Sheikh Zahra</v>
      </c>
      <c r="H110" s="61" t="str">
        <f>IFERROR(__xludf.DUMMYFUNCTION("""COMPUTED_VALUE"""),"gypsyasal@gmail.com")</f>
        <v>gypsyasal@gmail.com</v>
      </c>
      <c r="I110" s="61" t="str">
        <f>IFERROR(__xludf.DUMMYFUNCTION("""COMPUTED_VALUE"""),"asalharrypotterIT@yahoo.com")</f>
        <v>asalharrypotterIT@yahoo.com</v>
      </c>
      <c r="J110" s="61"/>
      <c r="K110" s="61" t="str">
        <f>IFERROR(__xludf.DUMMYFUNCTION("""COMPUTED_VALUE"""),"Iranian")</f>
        <v>Iranian</v>
      </c>
      <c r="L110" s="64" t="str">
        <f>IFERROR(__xludf.DUMMYFUNCTION("""COMPUTED_VALUE"""),"+80 1039182876")</f>
        <v>+80 1039182876</v>
      </c>
      <c r="M110" s="64">
        <f>IFERROR(__xludf.DUMMYFUNCTION("""COMPUTED_VALUE"""),36641.0)</f>
        <v>36641</v>
      </c>
      <c r="N110" s="61" t="str">
        <f>IFERROR(__xludf.DUMMYFUNCTION("""COMPUTED_VALUE"""),"K61802870")</f>
        <v>K61802870</v>
      </c>
      <c r="O110" s="61" t="str">
        <f>IFERROR(__xludf.DUMMYFUNCTION("""COMPUTED_VALUE"""),"+98 9122475661")</f>
        <v>+98 9122475661</v>
      </c>
      <c r="P110" s="61"/>
      <c r="Q110" s="61"/>
      <c r="R110" s="61"/>
      <c r="S110" s="61" t="str">
        <f>IFERROR(__xludf.DUMMYFUNCTION("""COMPUTED_VALUE"""),"WhatsApp Image 2026-07-05 at 2.38.44 PM.jpeg")</f>
        <v>WhatsApp Image 2026-07-05 at 2.38.44 PM.jpeg</v>
      </c>
      <c r="T110" s="61" t="str">
        <f>IFERROR(__xludf.DUMMYFUNCTION("""COMPUTED_VALUE"""),"Asal-Untitled.png")</f>
        <v>Asal-Untitled.png</v>
      </c>
      <c r="U110" s="61" t="str">
        <f>IFERROR(__xludf.DUMMYFUNCTION("""COMPUTED_VALUE"""),"Mater")</f>
        <v>Mater</v>
      </c>
      <c r="V110" s="61" t="str">
        <f>IFERROR(__xludf.DUMMYFUNCTION("""COMPUTED_VALUE"""),"International Relations")</f>
        <v>International Relations</v>
      </c>
      <c r="W110" s="61"/>
      <c r="X110" s="61" t="str">
        <f>IFERROR(__xludf.DUMMYFUNCTION("""COMPUTED_VALUE"""),"Kyung Hee University")</f>
        <v>Kyung Hee University</v>
      </c>
      <c r="Y110" s="61" t="str">
        <f>IFERROR(__xludf.DUMMYFUNCTION("""COMPUTED_VALUE"""),"Yes")</f>
        <v>Yes</v>
      </c>
      <c r="Z110" s="61" t="str">
        <f>IFERROR(__xludf.DUMMYFUNCTION("""COMPUTED_VALUE"""),"South Korea")</f>
        <v>South Korea</v>
      </c>
      <c r="AA110" s="61" t="str">
        <f>IFERROR(__xludf.DUMMYFUNCTION("""COMPUTED_VALUE"""),"No")</f>
        <v>No</v>
      </c>
      <c r="AB110" s="61"/>
      <c r="AC110" s="61"/>
      <c r="AD110" s="61" t="str">
        <f>IFERROR(__xludf.DUMMYFUNCTION("""COMPUTED_VALUE"""),"United Nations Information Centre (UNIC)")</f>
        <v>United Nations Information Centre (UNIC)</v>
      </c>
      <c r="AE110" s="65" t="str">
        <f>IFERROR(__xludf.DUMMYFUNCTION("""COMPUTED_VALUE"""),"https://www.un.org/en/authors-og-936/unic-tehran")</f>
        <v>https://www.un.org/en/authors-og-936/unic-tehran</v>
      </c>
      <c r="AF110" s="61" t="str">
        <f>IFERROR(__xludf.DUMMYFUNCTION("""COMPUTED_VALUE"""),"Communication&amp; PR Intern")</f>
        <v>Communication&amp; PR Intern</v>
      </c>
      <c r="AG110" s="61" t="str">
        <f>IFERROR(__xludf.DUMMYFUNCTION("""COMPUTED_VALUE"""),"6 Month")</f>
        <v>6 Month</v>
      </c>
      <c r="AH110" s="61" t="str">
        <f>IFERROR(__xludf.DUMMYFUNCTION("""COMPUTED_VALUE"""),"No")</f>
        <v>No</v>
      </c>
      <c r="AI110" s="61"/>
      <c r="AJ110" s="61"/>
      <c r="AK110" s="61"/>
      <c r="AL110" s="61" t="str">
        <f>IFERROR(__xludf.DUMMYFUNCTION("""COMPUTED_VALUE"""),"Writing,Debating")</f>
        <v>Writing,Debating</v>
      </c>
      <c r="AM110" s="61" t="str">
        <f>IFERROR(__xludf.DUMMYFUNCTION("""COMPUTED_VALUE"""),"(ZAHRA SHEIKH) CV.pdf")</f>
        <v>(ZAHRA SHEIKH) CV.pdf</v>
      </c>
      <c r="AN110" s="61" t="str">
        <f>IFERROR(__xludf.DUMMYFUNCTION("""COMPUTED_VALUE"""),"I come from a region where conflict is never just a headline, but it’s reality. I think that’s what first drew me to diplomacy—the belief that bridges can be built even in the most divided spaces. But of course, I didn’t always feel like this. I grew up j"&amp;"ust as much as any normal kid, but maybe with one difference compared to many of my peers in other countries: the sound of the television was always loud and clear in our household. Watching the news and following politics was a major part of my father’s "&amp;"daily life because he was a businessman. Since a young age, I grew up with the idea that whatever happened in the international community would have a direct impact on our home. It would either make my father happy or very sad. So when I grew up, I though"&amp;"t that if I wanted to contribute positively and improve society, I could start by becoming the voice of the public. That is why I chose to study journalism.")</f>
        <v>I come from a region where conflict is never just a headline, but it’s reality. I think that’s what first drew me to diplomacy—the belief that bridges can be built even in the most divided spaces. But of course, I didn’t always feel like this. I grew up just as much as any normal kid, but maybe with one difference compared to many of my peers in other countries: the sound of the television was always loud and clear in our household. Watching the news and following politics was a major part of my father’s daily life because he was a businessman. Since a young age, I grew up with the idea that whatever happened in the international community would have a direct impact on our home. It would either make my father happy or very sad. So when I grew up, I thought that if I wanted to contribute positively and improve society, I could start by becoming the voice of the public. That is why I chose to study journalism.</v>
      </c>
      <c r="AO110" s="61" t="str">
        <f>IFERROR(__xludf.DUMMYFUNCTION("""COMPUTED_VALUE"""),"While I fundamentally believe that there is no ""better or superior"" country exist in terms of diplomacy, I might lean a bit toward South Korea as I believe it beautifully embodies the cultural diplomacy and peace through it. Born through war and still l"&amp;"iving with the division, South Korea stands today as one of the world’s leading examples of cultural diplomacy. Instead of allowing conflict to define its identity, it has used culture to connect people around the world. I thought to myself that I wouldn’"&amp;"t find a better teacher than South Korea to learn about peace and cultural diplomacy that can connect nations together and I think thats why I'm here today. learning from the bests.")</f>
        <v>While I fundamentally believe that there is no "better or superior" country exist in terms of diplomacy, I might lean a bit toward South Korea as I believe it beautifully embodies the cultural diplomacy and peace through it. Born through war and still living with the division, South Korea stands today as one of the world’s leading examples of cultural diplomacy. Instead of allowing conflict to define its identity, it has used culture to connect people around the world. I thought to myself that I wouldn’t find a better teacher than South Korea to learn about peace and cultural diplomacy that can connect nations together and I think thats why I'm here today. learning from the bests.</v>
      </c>
      <c r="AP110" s="61" t="str">
        <f>IFERROR(__xludf.DUMMYFUNCTION("""COMPUTED_VALUE"""),"To be honest, I believe young people are among the most important actors in public diplomacy because they shape how societies understand one another. Especially in today’s world, where the power of media has become stronger than ever, one TikTok video or "&amp;"a post on X can influence public opinion and even change the course of events. More than ever before, young people have the ability to connect with others beyond borders and bring different perspectives closer together.
As mentioned earlier, my own journ"&amp;"ey began with journalism, where I believed that informing people could contribute to positive change. Later on, I was presented with the opportunity to work at the Communication Office of the United Nations in Iran, where information and education begin. "&amp;"I did not hesitate to become an intern and contribute to the Sustainable Development Goals in my own capacity.
Those six months at the United Nations were among the most fruitful periods of my life. I grew beyond my academic knowledge and gained a deeper"&amp;" understanding of politics and the idea of our world as a global village. I realized how inseparably connected we are to one another and, as the beloved poet of my country would say, “Human beings are members of a whole.” I came to appreciate that challen"&amp;"ges faced by one country often affect many others. This experience reinforced my belief that diplomacy begins with ordinary people who are willing to listen, communicate, and cooperate across cultures.
However, what left the greatest impression on me was"&amp;" not only the work itself, but also the young people working beside me. They were interns just like me, each trying to contribute to change in their own capacity. Witnessing so many like-minded young people, each bringing their own ideas, compassion, and "&amp;"determination, made me realize how much potential our generation holds. Whether it is because we are more connected through global media or because we have learned from the mistakes of previous generations, I believe today’s youth have greater flexibility"&amp;", understanding, and empathy toward one another.
And I believe these are exactly the qualities our world needs right now: understanding, flexibility, and compassion.")</f>
        <v>To be honest, I believe young people are among the most important actors in public diplomacy because they shape how societies understand one another. Especially in today’s world, where the power of media has become stronger than ever, one TikTok video or a post on X can influence public opinion and even change the course of events. More than ever before, young people have the ability to connect with others beyond borders and bring different perspectives closer together.
As mentioned earlier, my own journey began with journalism, where I believed that informing people could contribute to positive change. Later on, I was presented with the opportunity to work at the Communication Office of the United Nations in Iran, where information and education begin. I did not hesitate to become an intern and contribute to the Sustainable Development Goals in my own capacity.
Those six months at the United Nations were among the most fruitful periods of my life. I grew beyond my academic knowledge and gained a deeper understanding of politics and the idea of our world as a global village. I realized how inseparably connected we are to one another and, as the beloved poet of my country would say, “Human beings are members of a whole.” I came to appreciate that challenges faced by one country often affect many others. This experience reinforced my belief that diplomacy begins with ordinary people who are willing to listen, communicate, and cooperate across cultures.
However, what left the greatest impression on me was not only the work itself, but also the young people working beside me. They were interns just like me, each trying to contribute to change in their own capacity. Witnessing so many like-minded young people, each bringing their own ideas, compassion, and determination, made me realize how much potential our generation holds. Whether it is because we are more connected through global media or because we have learned from the mistakes of previous generations, I believe today’s youth have greater flexibility, understanding, and empathy toward one another.
And I believe these are exactly the qualities our world needs right now: understanding, flexibility, and compassion.</v>
      </c>
      <c r="AQ110" s="61" t="str">
        <f>IFERROR(__xludf.DUMMYFUNCTION("""COMPUTED_VALUE"""),"To be honest, I think passion is what keeps you moving when comfort tells you to stay where you are and I think if one ere to tell my story, they would realize I'm one who always run with my passion rather than anything else. If I had to break it down, ju"&amp;"st around nearly three years ago I to took a role and expanded my horizons, on the bilateral level between my home country and Malaysia. I had the honor, humbly speaking, to contribute to the friendly relations between Iran and Malaysia through my work at"&amp;" the Embassy of Malaysia in Tehran. Those three years not only gave me hands-on experience in diplomacy, but also convinced me even more that before that no country can truly survive and grow alone. We need one another.
Carrying this belief within me, wh"&amp;"en my country came under attack by Israel back in 2025, I was struck by the realization that my role in bringing about change was still too small and was only on the bilateral level. For the first time, I asked myself whether I was truly doing enough. Tha"&amp;"t question stayed with me.
So I made what was probably the hardest decision of my life. I let go of everything. my career, the stability I had built, and the life I knew and decided to move to South Korea. I chose Korea because I believes as I said befor"&amp;"e that it beautifully embodies cultural diplomacy. I thought to myself that I wouldn’t find a better teacher than South Korea to teach me about peace and cultural diplomacy.
A year ago, I embarked on this journey as a GKS scholar, first by challenging to"&amp;" learn a language, the Korean language which I as complete alien with and later to start the journey of my International studies.  My journey till now hasn't been easy to be honest, It has been filled with obstacles and hardship, whether it is the languag"&amp;"e itself or the doubt to myself if I did the right thing to leave home and its safety, running for peace which seems harder to achieve these days, but as Korean would say, 초지일관. To remember always why we started. I started with a hope that one day I can a"&amp;"dvocate for peace for my country and the Middle East, hoping that one day, the sound of music will be louder in children’s homes than the sound of political conflict was in mine.")</f>
        <v>To be honest, I think passion is what keeps you moving when comfort tells you to stay where you are and I think if one ere to tell my story, they would realize I'm one who always run with my passion rather than anything else. If I had to break it down, just around nearly three years ago I to took a role and expanded my horizons, on the bilateral level between my home country and Malaysia. I had the honor, humbly speaking, to contribute to the friendly relations between Iran and Malaysia through my work at the Embassy of Malaysia in Tehran. Those three years not only gave me hands-on experience in diplomacy, but also convinced me even more that before that no country can truly survive and grow alone. We need one another.
Carrying this belief within me, when my country came under attack by Israel back in 2025, I was struck by the realization that my role in bringing about change was still too small and was only on the bilateral level. For the first time, I asked myself whether I was truly doing enough. That question stayed with me.
So I made what was probably the hardest decision of my life. I let go of everything. my career, the stability I had built, and the life I knew and decided to move to South Korea. I chose Korea because I believes as I said before that it beautifully embodies cultural diplomacy. I thought to myself that I wouldn’t find a better teacher than South Korea to teach me about peace and cultural diplomacy.
A year ago, I embarked on this journey as a GKS scholar, first by challenging to learn a language, the Korean language which I as complete alien with and later to start the journey of my International studies.  My journey till now hasn't been easy to be honest, It has been filled with obstacles and hardship, whether it is the language itself or the doubt to myself if I did the right thing to leave home and its safety, running for peace which seems harder to achieve these days, but as Korean would say, 초지일관. To remember always why we started. I started with a hope that one day I can advocate for peace for my country and the Middle East, hoping that one day, the sound of music will be louder in children’s homes than the sound of political conflict was in mine.</v>
      </c>
      <c r="AR110" s="61" t="str">
        <f>IFERROR(__xludf.DUMMYFUNCTION("""COMPUTED_VALUE"""),"To be honest, I never thought of creativity as something limited to art or music. To me, creativity is finding new ways to connect people who otherwise would never understand one another. Looking back, I think every step of my journey has revolved around "&amp;"communication. I first chose journalism because I believed stories could become the voice of ordinary people and contribute to positive change. Later, during my internship at the Communication Office of the United Nations in Iran, I saw how information an"&amp;"d education could inspire people to take action in their own communities. After graduation, working at the Embassy of Malaysia showed me another side of communication. I had the opportunity to contribute to cultural events, interpretation, and strengtheni"&amp;"ng the friendly relations between my home country and Malaysia. It made me realize that diplomacy does not only happen behind closed doors. Sometimes it happens through a conversation, a cultural event, or simply helping people understand one another a li"&amp;"ttle better.
If I were to turn this into a public diplomacy strategy, I would use storytelling, media, and cultural exchange to bring young people from different countries together. I believe political disagreements often begin with misunderstanding, and"&amp;" understanding begins by listening to each other’s stories. If communication has the power to divide people, I also believe it has the power to bring them together. That is the kind of public diplomacy I hope to contribute to in the future.")</f>
        <v>To be honest, I never thought of creativity as something limited to art or music. To me, creativity is finding new ways to connect people who otherwise would never understand one another. Looking back, I think every step of my journey has revolved around communication. I first chose journalism because I believed stories could become the voice of ordinary people and contribute to positive change. Later, during my internship at the Communication Office of the United Nations in Iran, I saw how information and education could inspire people to take action in their own communities. After graduation, working at the Embassy of Malaysia showed me another side of communication. I had the opportunity to contribute to cultural events, interpretation, and strengthening the friendly relations between my home country and Malaysia. It made me realize that diplomacy does not only happen behind closed doors. Sometimes it happens through a conversation, a cultural event, or simply helping people understand one another a little better.
If I were to turn this into a public diplomacy strategy, I would use storytelling, media, and cultural exchange to bring young people from different countries together. I believe political disagreements often begin with misunderstanding, and understanding begins by listening to each other’s stories. If communication has the power to divide people, I also believe it has the power to bring them together. That is the kind of public diplomacy I hope to contribute to in the future.</v>
      </c>
      <c r="AS110" s="61" t="str">
        <f>IFERROR(__xludf.DUMMYFUNCTION("""COMPUTED_VALUE"""),"Yes")</f>
        <v>Yes</v>
      </c>
      <c r="AT110" s="61" t="str">
        <f>IFERROR(__xludf.DUMMYFUNCTION("""COMPUTED_VALUE"""),"Yes")</f>
        <v>Yes</v>
      </c>
      <c r="AU110" s="61" t="str">
        <f>IFERROR(__xludf.DUMMYFUNCTION("""COMPUTED_VALUE"""),"Global Politics, Diplomacy &amp; Identities")</f>
        <v>Global Politics, Diplomacy &amp; Identities</v>
      </c>
      <c r="AV110" s="61" t="str">
        <f>IFERROR(__xludf.DUMMYFUNCTION("""COMPUTED_VALUE"""),"Social media pop-ups")</f>
        <v>Social media pop-ups</v>
      </c>
      <c r="AW110" s="61"/>
      <c r="AX110" s="66" t="str">
        <f>IFERROR(__xludf.DUMMYFUNCTION("""COMPUTED_VALUE"""),"Yes")</f>
        <v>Yes</v>
      </c>
      <c r="AY110" s="66">
        <f>IFERROR(__xludf.DUMMYFUNCTION("""COMPUTED_VALUE"""),15.99)</f>
        <v>15.99</v>
      </c>
      <c r="AZ110" s="61"/>
      <c r="BA110" s="61"/>
      <c r="BB110" s="61"/>
      <c r="BC110" s="61"/>
      <c r="BD110" s="61"/>
      <c r="BE110" s="61"/>
      <c r="BF110" s="61"/>
      <c r="BG110" s="61"/>
      <c r="BH110" s="61"/>
      <c r="BI110" s="61"/>
      <c r="BJ110" s="61"/>
      <c r="BK110" s="61"/>
      <c r="BL110" s="61"/>
      <c r="BM110" s="61"/>
      <c r="BN110" s="61"/>
      <c r="BO110" s="61"/>
      <c r="BP110" s="61"/>
      <c r="BQ110" s="61"/>
      <c r="BR110" s="61"/>
    </row>
    <row r="111" ht="15.75" customHeight="1">
      <c r="A111" s="61" t="str">
        <f>IFERROR(__xludf.DUMMYFUNCTION("""COMPUTED_VALUE"""),"Full")</f>
        <v>Full</v>
      </c>
      <c r="B111" s="62">
        <f>IFERROR(__xludf.DUMMYFUNCTION("""COMPUTED_VALUE"""),132.0)</f>
        <v>132</v>
      </c>
      <c r="C111" s="61" t="str">
        <f>IFERROR(__xludf.DUMMYFUNCTION("""COMPUTED_VALUE"""),"Full")</f>
        <v>Full</v>
      </c>
      <c r="D111" s="63" t="str">
        <f>IFERROR(__xludf.DUMMYFUNCTION("""COMPUTED_VALUE"""),"Submitted")</f>
        <v>Submitted</v>
      </c>
      <c r="E111" s="63">
        <f>IFERROR(__xludf.DUMMYFUNCTION("""COMPUTED_VALUE"""),46208.76944444444)</f>
        <v>46208.76944</v>
      </c>
      <c r="F111" s="61" t="str">
        <f>IFERROR(__xludf.DUMMYFUNCTION("""COMPUTED_VALUE"""),"Mats Borgen")</f>
        <v>Mats Borgen</v>
      </c>
      <c r="G111" s="61" t="str">
        <f>IFERROR(__xludf.DUMMYFUNCTION("""COMPUTED_VALUE"""),"Mats Borgen")</f>
        <v>Mats Borgen</v>
      </c>
      <c r="H111" s="61" t="str">
        <f>IFERROR(__xludf.DUMMYFUNCTION("""COMPUTED_VALUE"""),"mpborgen@ziggo.nl")</f>
        <v>mpborgen@ziggo.nl</v>
      </c>
      <c r="I111" s="61" t="str">
        <f>IFERROR(__xludf.DUMMYFUNCTION("""COMPUTED_VALUE"""),"mpborgen@gmail.com")</f>
        <v>mpborgen@gmail.com</v>
      </c>
      <c r="J111" s="61" t="str">
        <f>IFERROR(__xludf.DUMMYFUNCTION("""COMPUTED_VALUE"""),"Thorbeckestraat 8, Delft, Netherlands")</f>
        <v>Thorbeckestraat 8, Delft, Netherlands</v>
      </c>
      <c r="K111" s="61" t="str">
        <f>IFERROR(__xludf.DUMMYFUNCTION("""COMPUTED_VALUE"""),"Dutch")</f>
        <v>Dutch</v>
      </c>
      <c r="L111" s="64" t="str">
        <f>IFERROR(__xludf.DUMMYFUNCTION("""COMPUTED_VALUE"""),"+31625574267")</f>
        <v>+31625574267</v>
      </c>
      <c r="M111" s="64">
        <f>IFERROR(__xludf.DUMMYFUNCTION("""COMPUTED_VALUE"""),38351.0)</f>
        <v>38351</v>
      </c>
      <c r="N111" s="61" t="str">
        <f>IFERROR(__xludf.DUMMYFUNCTION("""COMPUTED_VALUE"""),"NM3BB8BD4")</f>
        <v>NM3BB8BD4</v>
      </c>
      <c r="O111" s="61" t="str">
        <f>IFERROR(__xludf.DUMMYFUNCTION("""COMPUTED_VALUE"""),"+31630409882")</f>
        <v>+31630409882</v>
      </c>
      <c r="P111" s="65" t="str">
        <f>IFERROR(__xludf.DUMMYFUNCTION("""COMPUTED_VALUE"""),"https://www.linkedin.com/in/mats-borgen-325586203/")</f>
        <v>https://www.linkedin.com/in/mats-borgen-325586203/</v>
      </c>
      <c r="Q111" s="61"/>
      <c r="R111" s="61"/>
      <c r="S111" s="61" t="str">
        <f>IFERROR(__xludf.DUMMYFUNCTION("""COMPUTED_VALUE"""),"501575_Passpor_page-0001.jpg")</f>
        <v>501575_Passpor_page-0001.jpg</v>
      </c>
      <c r="T111" s="61" t="str">
        <f>IFERROR(__xludf.DUMMYFUNCTION("""COMPUTED_VALUE"""),"erasebg-transformed.jpg")</f>
        <v>erasebg-transformed.jpg</v>
      </c>
      <c r="U111" s="61" t="str">
        <f>IFERROR(__xludf.DUMMYFUNCTION("""COMPUTED_VALUE"""),"Bachelor of Science in Physics")</f>
        <v>Bachelor of Science in Physics</v>
      </c>
      <c r="V111" s="61" t="str">
        <f>IFERROR(__xludf.DUMMYFUNCTION("""COMPUTED_VALUE"""),"BSc")</f>
        <v>BSc</v>
      </c>
      <c r="W111" s="61"/>
      <c r="X111" s="61" t="str">
        <f>IFERROR(__xludf.DUMMYFUNCTION("""COMPUTED_VALUE"""),"Leiden University")</f>
        <v>Leiden University</v>
      </c>
      <c r="Y111" s="61" t="str">
        <f>IFERROR(__xludf.DUMMYFUNCTION("""COMPUTED_VALUE"""),"Yes")</f>
        <v>Yes</v>
      </c>
      <c r="Z111" s="61" t="str">
        <f>IFERROR(__xludf.DUMMYFUNCTION("""COMPUTED_VALUE"""),"The Netherlands")</f>
        <v>The Netherlands</v>
      </c>
      <c r="AA111" s="61" t="str">
        <f>IFERROR(__xludf.DUMMYFUNCTION("""COMPUTED_VALUE"""),"Yes")</f>
        <v>Yes</v>
      </c>
      <c r="AB111" s="61" t="str">
        <f>IFERROR(__xludf.DUMMYFUNCTION("""COMPUTED_VALUE"""),"Universitas Indonesia")</f>
        <v>Universitas Indonesia</v>
      </c>
      <c r="AC111" s="61" t="str">
        <f>IFERROR(__xludf.DUMMYFUNCTION("""COMPUTED_VALUE"""),"Yes, in social sciences as well as in exact sciences.")</f>
        <v>Yes, in social sciences as well as in exact sciences.</v>
      </c>
      <c r="AD111" s="61" t="str">
        <f>IFERROR(__xludf.DUMMYFUNCTION("""COMPUTED_VALUE"""),"HartslagNu")</f>
        <v>HartslagNu</v>
      </c>
      <c r="AE111" s="65" t="str">
        <f>IFERROR(__xludf.DUMMYFUNCTION("""COMPUTED_VALUE"""),"https://Hartslagnu.nl")</f>
        <v>https://Hartslagnu.nl</v>
      </c>
      <c r="AF111" s="61" t="str">
        <f>IFERROR(__xludf.DUMMYFUNCTION("""COMPUTED_VALUE"""),"Citizen responder")</f>
        <v>Citizen responder</v>
      </c>
      <c r="AG111" s="61" t="str">
        <f>IFERROR(__xludf.DUMMYFUNCTION("""COMPUTED_VALUE"""),"1")</f>
        <v>1</v>
      </c>
      <c r="AH111" s="61" t="str">
        <f>IFERROR(__xludf.DUMMYFUNCTION("""COMPUTED_VALUE"""),"No")</f>
        <v>No</v>
      </c>
      <c r="AI111" s="61"/>
      <c r="AJ111" s="61"/>
      <c r="AK111" s="61"/>
      <c r="AL111" s="61" t="str">
        <f>IFERROR(__xludf.DUMMYFUNCTION("""COMPUTED_VALUE"""),"Physics, Math, English, Presentation Skills, Qualitative Research, Interdisciplinary Collaboration, Academic Writing, Foreign Policy.")</f>
        <v>Physics, Math, English, Presentation Skills, Qualitative Research, Interdisciplinary Collaboration, Academic Writing, Foreign Policy.</v>
      </c>
      <c r="AM111" s="61" t="str">
        <f>IFERROR(__xludf.DUMMYFUNCTION("""COMPUTED_VALUE"""),"Resume Mats Borgen 8-3-26 CV new version (1).pdf")</f>
        <v>Resume Mats Borgen 8-3-26 CV new version (1).pdf</v>
      </c>
      <c r="AN111" s="61" t="str">
        <f>IFERROR(__xludf.DUMMYFUNCTION("""COMPUTED_VALUE"""),"Yes, but I'd rather measure impact in specific people and problems. So I act on two scales. Locally, I trained in Basic Life Support and registered as a HartslagNu first responder: when someone nearby suffers cardiac arrest, an app alerts me to start CPR "&amp;"within the six minutes that decide survival. Globally, I spent four months in Indonesia researching job insecurity among young informal migrant workers in Jakarta, turning interviews and surveys into policy recommendations we presented to the Dutch Embass"&amp;"y, the Asian Development Bank and UNESCO. Neither changed the world, but both are honest starts.")</f>
        <v>Yes, but I'd rather measure impact in specific people and problems. So I act on two scales. Locally, I trained in Basic Life Support and registered as a HartslagNu first responder: when someone nearby suffers cardiac arrest, an app alerts me to start CPR within the six minutes that decide survival. Globally, I spent four months in Indonesia researching job insecurity among young informal migrant workers in Jakarta, turning interviews and surveys into policy recommendations we presented to the Dutch Embassy, the Asian Development Bank and UNESCO. Neither changed the world, but both are honest starts.</v>
      </c>
      <c r="AO111" s="61" t="str">
        <f>IFERROR(__xludf.DUMMYFUNCTION("""COMPUTED_VALUE"""),"Indonesia, which is fittingly the host of this very summit. Beyond being the world's largest Muslim-majority democracy and ASEAN's cornerstone, what struck me most, having lived there for four months, is its civic culture. Indonesian students shoulder dem"&amp;"ocratic responsibility remarkably: when injustice becomes law, they mobilise. Under President Prabowo, sustained student-led protests have confronted corruption and creeping military overreach in ways I rarely see elsewhere. Comparable resistance to figur"&amp;"es like Trump even feels muted by contrast. I suspect a deep nationalism and sense of community drives this. A country whose youth so fiercely guards its young democracy is, to me, profoundly significant diplomatically.")</f>
        <v>Indonesia, which is fittingly the host of this very summit. Beyond being the world's largest Muslim-majority democracy and ASEAN's cornerstone, what struck me most, having lived there for four months, is its civic culture. Indonesian students shoulder democratic responsibility remarkably: when injustice becomes law, they mobilise. Under President Prabowo, sustained student-led protests have confronted corruption and creeping military overreach in ways I rarely see elsewhere. Comparable resistance to figures like Trump even feels muted by contrast. I suspect a deep nationalism and sense of community drives this. A country whose youth so fiercely guards its young democracy is, to me, profoundly significant diplomatically.</v>
      </c>
      <c r="AP111" s="61" t="str">
        <f>IFERROR(__xludf.DUMMYFUNCTION("""COMPUTED_VALUE"""),"To me, youth aren't diplomats-in-waiting; we are already agents of diplomacy. Young people are the most mobile, digitally connected, and border-crossing generation in history. The relationships we build, student to student and peer to peer, often outlast "&amp;"the political cycles that governments answer to. We also bring clear-eyed, interdisciplinary thinking to problems states struggle to solve alone. And, as I saw in Indonesia, young people hold their own leaders accountable, keeping diplomacy honest from th"&amp;"e ground up.
This is why public diplomacy resonates with me so strongly. Its premise, that a nation's relationships are built not only government-to-government, but directly with foreign publics, through culture, education, and everyday human contact, de"&amp;"scribes exactly what I lived. Spending four months studying in Indonesia, learning the language, researching alongside Indonesian peers, and presenting our findings to the Dutch Embassy and international bodies, I felt how a shared project or meal can do "&amp;"more for two countries than any communiqué. Real understanding happens in what Edward Murrow called ""the last three feet""; the space between two people. I want to keep working in that space: as a scientist, a collaborator, and a bridge between communiti"&amp;"es.")</f>
        <v>To me, youth aren't diplomats-in-waiting; we are already agents of diplomacy. Young people are the most mobile, digitally connected, and border-crossing generation in history. The relationships we build, student to student and peer to peer, often outlast the political cycles that governments answer to. We also bring clear-eyed, interdisciplinary thinking to problems states struggle to solve alone. And, as I saw in Indonesia, young people hold their own leaders accountable, keeping diplomacy honest from the ground up.
This is why public diplomacy resonates with me so strongly. Its premise, that a nation's relationships are built not only government-to-government, but directly with foreign publics, through culture, education, and everyday human contact, describes exactly what I lived. Spending four months studying in Indonesia, learning the language, researching alongside Indonesian peers, and presenting our findings to the Dutch Embassy and international bodies, I felt how a shared project or meal can do more for two countries than any communiqué. Real understanding happens in what Edward Murrow called "the last three feet"; the space between two people. I want to keep working in that space: as a scientist, a collaborator, and a bridge between communities.</v>
      </c>
      <c r="AQ111" s="61" t="str">
        <f>IFERROR(__xludf.DUMMYFUNCTION("""COMPUTED_VALUE"""),"Passion, to me, isn't a burst of excitement. It's a quiet, durable engine. It's what makes effort feel worthwhile long after novelty fades, turning obstacles into puzzles rather than walls. Passion is how a hard problem becomes something you want to sit w"&amp;"ith, not escape.
It shapes everything I pursue. My fascination with the ""why"" and ""how"" behind physics keeps me working through equations that would otherwise be tedious; curiosity, not obligation, carries me. The same is true of chess, a lifelong pa"&amp;"ssion I've taken far enough to author a training course: years of study I'd never have sustained on discipline alone.
That's how passion helps me reach goals. It turns perseverance from a chore into a by-product of caring deeply. Motivation is unreliable"&amp;" and fades; passion renews itself. When you truly love the process, the distant, difficult goal stops feeling distant. You simply keep going.")</f>
        <v>Passion, to me, isn't a burst of excitement. It's a quiet, durable engine. It's what makes effort feel worthwhile long after novelty fades, turning obstacles into puzzles rather than walls. Passion is how a hard problem becomes something you want to sit with, not escape.
It shapes everything I pursue. My fascination with the "why" and "how" behind physics keeps me working through equations that would otherwise be tedious; curiosity, not obligation, carries me. The same is true of chess, a lifelong passion I've taken far enough to author a training course: years of study I'd never have sustained on discipline alone.
That's how passion helps me reach goals. It turns perseverance from a chore into a by-product of caring deeply. Motivation is unreliable and fades; passion renews itself. When you truly love the process, the distant, difficult goal stops feeling distant. You simply keep going.</v>
      </c>
      <c r="AR111" s="61" t="str">
        <f>IFERROR(__xludf.DUMMYFUNCTION("""COMPUTED_VALUE"""),"Yes, though not in the way people usually mean. I'm not a painter or a poet; my creativity is a scientist's and a chess player's. It shows in finding unexpected connections between ideas that don't obviously belong together, and in solving problems within"&amp;" tight constraints. Studying physics alongside an anthropology minor taught me that the most original insights often appear where two disciplines meet, in the space others overlook.
That instinct is, I think, exactly what public diplomacy demands. Its ce"&amp;"ntral challenge is connecting people who share no common language, history, or politics, and formal statements rarely manage it. Creativity does. It means reaching people through what they already love, whether culture, sport, science, or play, instead of"&amp;" through official channels.
My own strategy would start there: build exchanges around a shared, apolitical language that lets strangers cooperate before politics enters the room. Chess is one I know well: universal, needing no translation, instantly leve"&amp;"lling age and nationality. A collaborative research problem is another. Give two communities something to solve or play together, and understanding tends to follow.
Creativity, for me, is not decoration. It is the craft of designing the small, human brid"&amp;"ges that make diplomacy work.")</f>
        <v>Yes, though not in the way people usually mean. I'm not a painter or a poet; my creativity is a scientist's and a chess player's. It shows in finding unexpected connections between ideas that don't obviously belong together, and in solving problems within tight constraints. Studying physics alongside an anthropology minor taught me that the most original insights often appear where two disciplines meet, in the space others overlook.
That instinct is, I think, exactly what public diplomacy demands. Its central challenge is connecting people who share no common language, history, or politics, and formal statements rarely manage it. Creativity does. It means reaching people through what they already love, whether culture, sport, science, or play, instead of through official channels.
My own strategy would start there: build exchanges around a shared, apolitical language that lets strangers cooperate before politics enters the room. Chess is one I know well: universal, needing no translation, instantly levelling age and nationality. A collaborative research problem is another. Give two communities something to solve or play together, and understanding tends to follow.
Creativity, for me, is not decoration. It is the craft of designing the small, human bridges that make diplomacy work.</v>
      </c>
      <c r="AS111" s="61" t="str">
        <f>IFERROR(__xludf.DUMMYFUNCTION("""COMPUTED_VALUE"""),"Yes")</f>
        <v>Yes</v>
      </c>
      <c r="AT111" s="61" t="str">
        <f>IFERROR(__xludf.DUMMYFUNCTION("""COMPUTED_VALUE"""),"Yes")</f>
        <v>Yes</v>
      </c>
      <c r="AU111" s="61" t="str">
        <f>IFERROR(__xludf.DUMMYFUNCTION("""COMPUTED_VALUE"""),"Global Politics, Diplomacy &amp; Identities")</f>
        <v>Global Politics, Diplomacy &amp; Identities</v>
      </c>
      <c r="AV111" s="61" t="str">
        <f>IFERROR(__xludf.DUMMYFUNCTION("""COMPUTED_VALUE"""),"Scholarships and youth summits portal.")</f>
        <v>Scholarships and youth summits portal.</v>
      </c>
      <c r="AW111" s="61" t="str">
        <f>IFERROR(__xludf.DUMMYFUNCTION("""COMPUTED_VALUE"""),"Peace by Peaceful Means")</f>
        <v>Peace by Peaceful Means</v>
      </c>
      <c r="AX111" s="66" t="str">
        <f>IFERROR(__xludf.DUMMYFUNCTION("""COMPUTED_VALUE"""),"Yes")</f>
        <v>Yes</v>
      </c>
      <c r="AY111" s="66">
        <f>IFERROR(__xludf.DUMMYFUNCTION("""COMPUTED_VALUE"""),15.99)</f>
        <v>15.99</v>
      </c>
      <c r="AZ111" s="61"/>
      <c r="BA111" s="61"/>
      <c r="BB111" s="61"/>
      <c r="BC111" s="61"/>
      <c r="BD111" s="61"/>
      <c r="BE111" s="61"/>
      <c r="BF111" s="61"/>
      <c r="BG111" s="61"/>
      <c r="BH111" s="61"/>
      <c r="BI111" s="61"/>
      <c r="BJ111" s="61"/>
      <c r="BK111" s="61"/>
      <c r="BL111" s="61"/>
      <c r="BM111" s="61"/>
      <c r="BN111" s="61"/>
      <c r="BO111" s="61"/>
      <c r="BP111" s="61"/>
      <c r="BQ111" s="61"/>
      <c r="BR111" s="61"/>
    </row>
    <row r="112" ht="15.75" customHeight="1">
      <c r="A112" s="61" t="str">
        <f>IFERROR(__xludf.DUMMYFUNCTION("""COMPUTED_VALUE"""),"Partial")</f>
        <v>Partial</v>
      </c>
      <c r="B112" s="62">
        <f>IFERROR(__xludf.DUMMYFUNCTION("""COMPUTED_VALUE"""),133.0)</f>
        <v>133</v>
      </c>
      <c r="C112" s="61" t="str">
        <f>IFERROR(__xludf.DUMMYFUNCTION("""COMPUTED_VALUE"""),"Partial")</f>
        <v>Partial</v>
      </c>
      <c r="D112" s="63" t="str">
        <f>IFERROR(__xludf.DUMMYFUNCTION("""COMPUTED_VALUE"""),"Submitted")</f>
        <v>Submitted</v>
      </c>
      <c r="E112" s="63">
        <f>IFERROR(__xludf.DUMMYFUNCTION("""COMPUTED_VALUE"""),46208.78125)</f>
        <v>46208.78125</v>
      </c>
      <c r="F112" s="61" t="str">
        <f>IFERROR(__xludf.DUMMYFUNCTION("""COMPUTED_VALUE"""),"Sami S S Khalaf")</f>
        <v>Sami S S Khalaf</v>
      </c>
      <c r="G112" s="61" t="str">
        <f>IFERROR(__xludf.DUMMYFUNCTION("""COMPUTED_VALUE"""),"Sami S S Khalaf")</f>
        <v>Sami S S Khalaf</v>
      </c>
      <c r="H112" s="61" t="str">
        <f>IFERROR(__xludf.DUMMYFUNCTION("""COMPUTED_VALUE"""),"sami.skh2006@gmail.com")</f>
        <v>sami.skh2006@gmail.com</v>
      </c>
      <c r="I112" s="61" t="str">
        <f>IFERROR(__xludf.DUMMYFUNCTION("""COMPUTED_VALUE"""),"s424143410@gmail.com")</f>
        <v>s424143410@gmail.com</v>
      </c>
      <c r="J112" s="61" t="str">
        <f>IFERROR(__xludf.DUMMYFUNCTION("""COMPUTED_VALUE"""),"unit 11, 19-21 Oxford St., Merrylands, Sydney, Australia")</f>
        <v>unit 11, 19-21 Oxford St., Merrylands, Sydney, Australia</v>
      </c>
      <c r="K112" s="61" t="str">
        <f>IFERROR(__xludf.DUMMYFUNCTION("""COMPUTED_VALUE"""),"Palestinian")</f>
        <v>Palestinian</v>
      </c>
      <c r="L112" s="64" t="str">
        <f>IFERROR(__xludf.DUMMYFUNCTION("""COMPUTED_VALUE"""),"+61 414934904")</f>
        <v>+61 414934904</v>
      </c>
      <c r="M112" s="64">
        <f>IFERROR(__xludf.DUMMYFUNCTION("""COMPUTED_VALUE"""),39010.0)</f>
        <v>39010</v>
      </c>
      <c r="N112" s="61" t="str">
        <f>IFERROR(__xludf.DUMMYFUNCTION("""COMPUTED_VALUE"""),"6081427")</f>
        <v>6081427</v>
      </c>
      <c r="O112" s="61" t="str">
        <f>IFERROR(__xludf.DUMMYFUNCTION("""COMPUTED_VALUE"""),"+61 493906454")</f>
        <v>+61 493906454</v>
      </c>
      <c r="P112" s="61"/>
      <c r="Q112" s="61"/>
      <c r="R112" s="61"/>
      <c r="S112" s="61" t="str">
        <f>IFERROR(__xludf.DUMMYFUNCTION("""COMPUTED_VALUE"""),"CamScanner 11-25-2025 11.51 (1).pdf")</f>
        <v>CamScanner 11-25-2025 11.51 (1).pdf</v>
      </c>
      <c r="T112" s="61" t="str">
        <f>IFERROR(__xludf.DUMMYFUNCTION("""COMPUTED_VALUE"""),"WhatsApp Image 2026-07-05 at 10.59.36 PM.jpeg")</f>
        <v>WhatsApp Image 2026-07-05 at 10.59.36 PM.jpeg</v>
      </c>
      <c r="U112" s="61" t="str">
        <f>IFERROR(__xludf.DUMMYFUNCTION("""COMPUTED_VALUE"""),"bachelor")</f>
        <v>bachelor</v>
      </c>
      <c r="V112" s="61" t="str">
        <f>IFERROR(__xludf.DUMMYFUNCTION("""COMPUTED_VALUE"""),"engineering")</f>
        <v>engineering</v>
      </c>
      <c r="W112" s="61" t="str">
        <f>IFERROR(__xludf.DUMMYFUNCTION("""COMPUTED_VALUE"""),"Mechatronics")</f>
        <v>Mechatronics</v>
      </c>
      <c r="X112" s="61" t="str">
        <f>IFERROR(__xludf.DUMMYFUNCTION("""COMPUTED_VALUE"""),"University of technology Sydney")</f>
        <v>University of technology Sydney</v>
      </c>
      <c r="Y112" s="61" t="str">
        <f>IFERROR(__xludf.DUMMYFUNCTION("""COMPUTED_VALUE"""),"Yes")</f>
        <v>Yes</v>
      </c>
      <c r="Z112" s="61" t="str">
        <f>IFERROR(__xludf.DUMMYFUNCTION("""COMPUTED_VALUE"""),"Australia  ( I am still studying)")</f>
        <v>Australia  ( I am still studying)</v>
      </c>
      <c r="AA112" s="61" t="str">
        <f>IFERROR(__xludf.DUMMYFUNCTION("""COMPUTED_VALUE"""),"No")</f>
        <v>No</v>
      </c>
      <c r="AB112" s="61"/>
      <c r="AC112" s="61"/>
      <c r="AD112" s="61" t="str">
        <f>IFERROR(__xludf.DUMMYFUNCTION("""COMPUTED_VALUE"""),"I worked as a paid volunteer with human appeal australia")</f>
        <v>I worked as a paid volunteer with human appeal australia</v>
      </c>
      <c r="AE112" s="65" t="str">
        <f>IFERROR(__xludf.DUMMYFUNCTION("""COMPUTED_VALUE"""),"https://www.humanappeal.org.au/")</f>
        <v>https://www.humanappeal.org.au/</v>
      </c>
      <c r="AF112" s="61" t="str">
        <f>IFERROR(__xludf.DUMMYFUNCTION("""COMPUTED_VALUE"""),"collecting  donations")</f>
        <v>collecting  donations</v>
      </c>
      <c r="AG112" s="61" t="str">
        <f>IFERROR(__xludf.DUMMYFUNCTION("""COMPUTED_VALUE"""),"I didn't work for a long time there.")</f>
        <v>I didn't work for a long time there.</v>
      </c>
      <c r="AH112" s="61" t="str">
        <f>IFERROR(__xludf.DUMMYFUNCTION("""COMPUTED_VALUE"""),"No")</f>
        <v>No</v>
      </c>
      <c r="AI112" s="61" t="str">
        <f>IFERROR(__xludf.DUMMYFUNCTION("""COMPUTED_VALUE"""),"I worked as a casual tutor and supervisor at a shcool")</f>
        <v>I worked as a casual tutor and supervisor at a shcool</v>
      </c>
      <c r="AJ112" s="61"/>
      <c r="AK112" s="61"/>
      <c r="AL112" s="61" t="str">
        <f>IFERROR(__xludf.DUMMYFUNCTION("""COMPUTED_VALUE"""),"I am a tutor for math and physics, I have a very deep and strong Arabic language, I am a good teacher of for theoretical and Practical Arabic.")</f>
        <v>I am a tutor for math and physics, I have a very deep and strong Arabic language, I am a good teacher of for theoretical and Practical Arabic.</v>
      </c>
      <c r="AM112" s="61" t="str">
        <f>IFERROR(__xludf.DUMMYFUNCTION("""COMPUTED_VALUE"""),"SamiSS_Khalaf_Resume.pdf")</f>
        <v>SamiSS_Khalaf_Resume.pdf</v>
      </c>
      <c r="AN112" s="61" t="str">
        <f>IFERROR(__xludf.DUMMYFUNCTION("""COMPUTED_VALUE"""),"I strongly believe that directing this mental energy toward academic and practical fields will give me a unique advantage, allowing me to study deeply, contribute meaningfully, and stay focused on positive and productive thoughts. I believe that, through "&amp;"hard work and determination, I can make a meaningful difference and contribute to creating positive change, especially in helping make my home country, Palestine, a better place to live.
I am also currently studying Mechatronics Engineering, a field where"&amp;" I hope to combine the technical knowledge I gain with the communication skills and critical thinking that I continue to develop. My goal is to contribute to solving major global challenges, such as food and water shortages that affect many countries arou"&amp;"nd the world. These ambitions reflect a deep passion that drives who I am and what I hope to contribute to our world.")</f>
        <v>I strongly believe that directing this mental energy toward academic and practical fields will give me a unique advantage, allowing me to study deeply, contribute meaningfully, and stay focused on positive and productive thoughts. I believe that, through hard work and determination, I can make a meaningful difference and contribute to creating positive change, especially in helping make my home country, Palestine, a better place to live.
I am also currently studying Mechatronics Engineering, a field where I hope to combine the technical knowledge I gain with the communication skills and critical thinking that I continue to develop. My goal is to contribute to solving major global challenges, such as food and water shortages that affect many countries around the world. These ambitions reflect a deep passion that drives who I am and what I hope to contribute to our world.</v>
      </c>
      <c r="AO112" s="61" t="str">
        <f>IFERROR(__xludf.DUMMYFUNCTION("""COMPUTED_VALUE"""),"Palestine,I was born in Gaza City, Gaza Strip, a place that has almost never seen a normal day or a peaceful period. I witnessed two wars and many escalations in between, including the latest one that began on the 7th of October.
At that time, I was in Ye"&amp;"ar 12 in Palestine.
I was a very hard-working student, and this was clear in my decision not to stop studying during the first few days of the war. I can still clearly remember how I never left my books and study materials behind (mostly paper, as the use"&amp;" of digital copies was uncommon). During the first two months, I changed places four times. We lived in a storage room and guest rooms in Deir al-Balah and Khan Yunis, in the central and southern parts of the Gaza Strip.
The suffer of the people of palest"&amp;"ine has to gain more support and respect. Diplomatically a person or a politician or even a government's perspective of  Palestine always plays a major role in its diplomatic relationships with other countries. depends on the other countries perception to"&amp;" the Isreali Palestinian conflict")</f>
        <v>Palestine,I was born in Gaza City, Gaza Strip, a place that has almost never seen a normal day or a peaceful period. I witnessed two wars and many escalations in between, including the latest one that began on the 7th of October.
At that time, I was in Year 12 in Palestine.
I was a very hard-working student, and this was clear in my decision not to stop studying during the first few days of the war. I can still clearly remember how I never left my books and study materials behind (mostly paper, as the use of digital copies was uncommon). During the first two months, I changed places four times. We lived in a storage room and guest rooms in Deir al-Balah and Khan Yunis, in the central and southern parts of the Gaza Strip.
The suffer of the people of palestine has to gain more support and respect. Diplomatically a person or a politician or even a government's perspective of  Palestine always plays a major role in its diplomatic relationships with other countries. depends on the other countries perception to the Isreali Palestinian conflict</v>
      </c>
      <c r="AP112" s="61" t="str">
        <f>IFERROR(__xludf.DUMMYFUNCTION("""COMPUTED_VALUE"""),"One of my favourite things to do in my free time is to develop my mindset, critical thinking, and understanding of the world by continuously learning, gathering information, and challenging my own perspectives.
A big part of who I am is my passion for cre"&amp;"ating change. I deeply enjoy meaningful conversations, especially with people who have a strong critical and academic mindset. Through these discussions, I develop my ideas, improve my communication skills, and strengthen my ability to analyse complex iss"&amp;"ues.
For example, I occasionally have deep discussions with friends who enjoy these kinds of conversations. One topic we once discussed was the decision to invite the Australian Prime Minister to a large mosque during Eid despite what many viewed as his i"&amp;"nconsistent or even silent stance on what is happening in Palestine, and whether the negative reactions from some members of the community were an appropriate response in support of the Palestinian community.
At first, we had two very different views. One"&amp;" side believed that inviting the Prime Minister could be seen as accepting or overlooking his position, which might weaken the community's message of rejecting his stance on Palestine.
The other side argued that it was a diplomatic decision and an importa"&amp;"nt opportunity to maintain a positive relationship with the Australian Government, which has supported Palestinian and Muslim organisations in different ways. From this perspective, constructive engagement could bring greater long-term benefits to the com"&amp;"munity than creating conflict. Rather than treating the Prime Minister as an enemy, he was viewed as a public figure whose perspective might be influenced through respectful dialogue and engagement. Building relationships and encouraging understanding cou"&amp;"ld ultimately have a more positive impact than hostile reactions, which might only strengthen opposing views.
By the end of the discussion, the second argument proved more convincing. It became clear that although the invitation might initially appear to "&amp;"be a weak or unjustifiable decision, looking beyond the surface revealed that it could produce far greater long-term benefits.
This is an example of the kinds of discussions I have every week, and sometimes almost every day, mainly with my brother and clo"&amp;"se friends. These conversations require us to critically analyse current issues, consider different perspectives, and work towards the most reasonable and beneficial conclusion.")</f>
        <v>One of my favourite things to do in my free time is to develop my mindset, critical thinking, and understanding of the world by continuously learning, gathering information, and challenging my own perspectives.
A big part of who I am is my passion for creating change. I deeply enjoy meaningful conversations, especially with people who have a strong critical and academic mindset. Through these discussions, I develop my ideas, improve my communication skills, and strengthen my ability to analyse complex issues.
For example, I occasionally have deep discussions with friends who enjoy these kinds of conversations. One topic we once discussed was the decision to invite the Australian Prime Minister to a large mosque during Eid despite what many viewed as his inconsistent or even silent stance on what is happening in Palestine, and whether the negative reactions from some members of the community were an appropriate response in support of the Palestinian community.
At first, we had two very different views. One side believed that inviting the Prime Minister could be seen as accepting or overlooking his position, which might weaken the community's message of rejecting his stance on Palestine.
The other side argued that it was a diplomatic decision and an important opportunity to maintain a positive relationship with the Australian Government, which has supported Palestinian and Muslim organisations in different ways. From this perspective, constructive engagement could bring greater long-term benefits to the community than creating conflict. Rather than treating the Prime Minister as an enemy, he was viewed as a public figure whose perspective might be influenced through respectful dialogue and engagement. Building relationships and encouraging understanding could ultimately have a more positive impact than hostile reactions, which might only strengthen opposing views.
By the end of the discussion, the second argument proved more convincing. It became clear that although the invitation might initially appear to be a weak or unjustifiable decision, looking beyond the surface revealed that it could produce far greater long-term benefits.
This is an example of the kinds of discussions I have every week, and sometimes almost every day, mainly with my brother and close friends. These conversations require us to critically analyse current issues, consider different perspectives, and work towards the most reasonable and beneficial conclusion.</v>
      </c>
      <c r="AQ112" s="61" t="str">
        <f>IFERROR(__xludf.DUMMYFUNCTION("""COMPUTED_VALUE"""),"Passion is an inner feeling the pushing you towards doing or achieving your goals. it gives you the energy to start but we need a lot of discipline and hard-work along the way.
One of the obstacles that I clearly remember overcoming -back in my home count"&amp;"ry- was when I moved to Arafat High School for the Gifted, the only selective school in Gaza, as far as I know.
I had been a top student at my previous school, and I was determined to maintain that level. I believed in myself and in my abilities. I have n"&amp;"ever believed that anyone has something I could not achieve through hard work. I always worked hard and wrote down most of what my teachers said during lessons.
Finally, in Year 10, Term 2, I ranked first in my school, and I remained among the top three s"&amp;"tudents, to the best of my memory, until the 7th of October.")</f>
        <v>Passion is an inner feeling the pushing you towards doing or achieving your goals. it gives you the energy to start but we need a lot of discipline and hard-work along the way.
One of the obstacles that I clearly remember overcoming -back in my home country- was when I moved to Arafat High School for the Gifted, the only selective school in Gaza, as far as I know.
I had been a top student at my previous school, and I was determined to maintain that level. I believed in myself and in my abilities. I have never believed that anyone has something I could not achieve through hard work. I always worked hard and wrote down most of what my teachers said during lessons.
Finally, in Year 10, Term 2, I ranked first in my school, and I remained among the top three students, to the best of my memory, until the 7th of October.</v>
      </c>
      <c r="AR112" s="61" t="str">
        <f>IFERROR(__xludf.DUMMYFUNCTION("""COMPUTED_VALUE"""),"I have struggled with obsessive-compulsive disorder (OCD), which is driven by excessive overthinking. However, I strongly believe that directing this mental energy toward academic and practical fields will give me a unique advantage, allowing me to study "&amp;"deeply, contribute meaningfully, and stay focused on positive and productive thoughts. I believe that, through hard work and determination, I can make a meaningful difference and contribute to creating positive change, especially in helping make my home c"&amp;"ountry, Palestine, a better place to live.
I am also currently studying Mechatronics Engineering, a field where I hope to combine the technical knowledge I gain with the communication skills and critical thinking that I continue to develop. My goal is to "&amp;"contribute to solving major global challenges, such as food and water shortages that affect many countries around the world. These ambitions reflect a deep passion that drives who I am and what I hope to contribute to our world.")</f>
        <v>I have struggled with obsessive-compulsive disorder (OCD), which is driven by excessive overthinking. However, I strongly believe that directing this mental energy toward academic and practical fields will give me a unique advantage, allowing me to study deeply, contribute meaningfully, and stay focused on positive and productive thoughts. I believe that, through hard work and determination, I can make a meaningful difference and contribute to creating positive change, especially in helping make my home country, Palestine, a better place to live.
I am also currently studying Mechatronics Engineering, a field where I hope to combine the technical knowledge I gain with the communication skills and critical thinking that I continue to develop. My goal is to contribute to solving major global challenges, such as food and water shortages that affect many countries around the world. These ambitions reflect a deep passion that drives who I am and what I hope to contribute to our world.</v>
      </c>
      <c r="AS112" s="61" t="str">
        <f>IFERROR(__xludf.DUMMYFUNCTION("""COMPUTED_VALUE"""),"No")</f>
        <v>No</v>
      </c>
      <c r="AT112" s="61" t="str">
        <f>IFERROR(__xludf.DUMMYFUNCTION("""COMPUTED_VALUE"""),"No")</f>
        <v>No</v>
      </c>
      <c r="AU112" s="61" t="str">
        <f>IFERROR(__xludf.DUMMYFUNCTION("""COMPUTED_VALUE"""),"Global Politics, Diplomacy &amp; Identities")</f>
        <v>Global Politics, Diplomacy &amp; Identities</v>
      </c>
      <c r="AV112" s="61" t="str">
        <f>IFERROR(__xludf.DUMMYFUNCTION("""COMPUTED_VALUE"""),"a freind")</f>
        <v>a freind</v>
      </c>
      <c r="AW112" s="61"/>
      <c r="AX112" s="66" t="str">
        <f>IFERROR(__xludf.DUMMYFUNCTION("""COMPUTED_VALUE"""),"Yes")</f>
        <v>Yes</v>
      </c>
      <c r="AY112" s="66">
        <f>IFERROR(__xludf.DUMMYFUNCTION("""COMPUTED_VALUE"""),15.99)</f>
        <v>15.99</v>
      </c>
      <c r="AZ112" s="61"/>
      <c r="BA112" s="61"/>
      <c r="BB112" s="61"/>
      <c r="BC112" s="61"/>
      <c r="BD112" s="61"/>
      <c r="BE112" s="61"/>
      <c r="BF112" s="61"/>
      <c r="BG112" s="61"/>
      <c r="BH112" s="61"/>
      <c r="BI112" s="61"/>
      <c r="BJ112" s="61"/>
      <c r="BK112" s="61"/>
      <c r="BL112" s="61"/>
      <c r="BM112" s="61"/>
      <c r="BN112" s="61"/>
      <c r="BO112" s="61"/>
      <c r="BP112" s="61"/>
      <c r="BQ112" s="61"/>
      <c r="BR112" s="61"/>
    </row>
    <row r="113" ht="15.75" customHeight="1">
      <c r="A113" s="61" t="str">
        <f>IFERROR(__xludf.DUMMYFUNCTION("""COMPUTED_VALUE"""),"Partial")</f>
        <v>Partial</v>
      </c>
      <c r="B113" s="62">
        <f>IFERROR(__xludf.DUMMYFUNCTION("""COMPUTED_VALUE"""),134.0)</f>
        <v>134</v>
      </c>
      <c r="C113" s="61" t="str">
        <f>IFERROR(__xludf.DUMMYFUNCTION("""COMPUTED_VALUE"""),"Partial")</f>
        <v>Partial</v>
      </c>
      <c r="D113" s="63" t="str">
        <f>IFERROR(__xludf.DUMMYFUNCTION("""COMPUTED_VALUE"""),"Submitted")</f>
        <v>Submitted</v>
      </c>
      <c r="E113" s="63">
        <f>IFERROR(__xludf.DUMMYFUNCTION("""COMPUTED_VALUE"""),46208.80208333334)</f>
        <v>46208.80208</v>
      </c>
      <c r="F113" s="61" t="str">
        <f>IFERROR(__xludf.DUMMYFUNCTION("""COMPUTED_VALUE"""),"HA TRANG THACH")</f>
        <v>HA TRANG THACH</v>
      </c>
      <c r="G113" s="61" t="str">
        <f>IFERROR(__xludf.DUMMYFUNCTION("""COMPUTED_VALUE"""),"THACH HA TRANG")</f>
        <v>THACH HA TRANG</v>
      </c>
      <c r="H113" s="61" t="str">
        <f>IFERROR(__xludf.DUMMYFUNCTION("""COMPUTED_VALUE"""),"thachhatrang188@gmail.com")</f>
        <v>thachhatrang188@gmail.com</v>
      </c>
      <c r="I113" s="61" t="str">
        <f>IFERROR(__xludf.DUMMYFUNCTION("""COMPUTED_VALUE"""),"trangsined.sac.ftu@gmail.com")</f>
        <v>trangsined.sac.ftu@gmail.com</v>
      </c>
      <c r="J113" s="61" t="str">
        <f>IFERROR(__xludf.DUMMYFUNCTION("""COMPUTED_VALUE"""),"Phu Dong Commune, Hanoi, Vietnam")</f>
        <v>Phu Dong Commune, Hanoi, Vietnam</v>
      </c>
      <c r="K113" s="61" t="str">
        <f>IFERROR(__xludf.DUMMYFUNCTION("""COMPUTED_VALUE"""),"Vietnamese")</f>
        <v>Vietnamese</v>
      </c>
      <c r="L113" s="64" t="str">
        <f>IFERROR(__xludf.DUMMYFUNCTION("""COMPUTED_VALUE"""),"+84869631645")</f>
        <v>+84869631645</v>
      </c>
      <c r="M113" s="64">
        <f>IFERROR(__xludf.DUMMYFUNCTION("""COMPUTED_VALUE"""),37851.0)</f>
        <v>37851</v>
      </c>
      <c r="N113" s="61" t="str">
        <f>IFERROR(__xludf.DUMMYFUNCTION("""COMPUTED_VALUE"""),"K0046744")</f>
        <v>K0046744</v>
      </c>
      <c r="O113" s="61" t="str">
        <f>IFERROR(__xludf.DUMMYFUNCTION("""COMPUTED_VALUE"""),"+84 986818867")</f>
        <v>+84 986818867</v>
      </c>
      <c r="P113" s="61"/>
      <c r="Q113" s="61"/>
      <c r="R113" s="61"/>
      <c r="S113" s="61" t="str">
        <f>IFERROR(__xludf.DUMMYFUNCTION("""COMPUTED_VALUE"""),"Passport Thach Trang.pdf")</f>
        <v>Passport Thach Trang.pdf</v>
      </c>
      <c r="T113" s="61" t="str">
        <f>IFERROR(__xludf.DUMMYFUNCTION("""COMPUTED_VALUE"""),"ảnh thẻ 4x6.jpg")</f>
        <v>ảnh thẻ 4x6.jpg</v>
      </c>
      <c r="U113" s="61" t="str">
        <f>IFERROR(__xludf.DUMMYFUNCTION("""COMPUTED_VALUE"""),"Bachelor")</f>
        <v>Bachelor</v>
      </c>
      <c r="V113" s="61" t="str">
        <f>IFERROR(__xludf.DUMMYFUNCTION("""COMPUTED_VALUE"""),"Bachelor's Degree in Economics")</f>
        <v>Bachelor's Degree in Economics</v>
      </c>
      <c r="W113" s="61" t="str">
        <f>IFERROR(__xludf.DUMMYFUNCTION("""COMPUTED_VALUE"""),"International Business Economics")</f>
        <v>International Business Economics</v>
      </c>
      <c r="X113" s="61" t="str">
        <f>IFERROR(__xludf.DUMMYFUNCTION("""COMPUTED_VALUE"""),"Foreign Trade University")</f>
        <v>Foreign Trade University</v>
      </c>
      <c r="Y113" s="61" t="str">
        <f>IFERROR(__xludf.DUMMYFUNCTION("""COMPUTED_VALUE"""),"Yes")</f>
        <v>Yes</v>
      </c>
      <c r="Z113" s="61" t="str">
        <f>IFERROR(__xludf.DUMMYFUNCTION("""COMPUTED_VALUE"""),"Vietnam")</f>
        <v>Vietnam</v>
      </c>
      <c r="AA113" s="61" t="str">
        <f>IFERROR(__xludf.DUMMYFUNCTION("""COMPUTED_VALUE"""),"Yes")</f>
        <v>Yes</v>
      </c>
      <c r="AB113" s="61" t="str">
        <f>IFERROR(__xludf.DUMMYFUNCTION("""COMPUTED_VALUE"""),"Goethe Unversity Frankfurt")</f>
        <v>Goethe Unversity Frankfurt</v>
      </c>
      <c r="AC113" s="61"/>
      <c r="AD113" s="61" t="str">
        <f>IFERROR(__xludf.DUMMYFUNCTION("""COMPUTED_VALUE"""),"Yes, The Ninth Global Conference of Young Parliamentarians")</f>
        <v>Yes, The Ninth Global Conference of Young Parliamentarians</v>
      </c>
      <c r="AE113" s="61"/>
      <c r="AF113" s="61" t="str">
        <f>IFERROR(__xludf.DUMMYFUNCTION("""COMPUTED_VALUE"""),"Liaison Officer")</f>
        <v>Liaison Officer</v>
      </c>
      <c r="AG113" s="61"/>
      <c r="AH113" s="61" t="str">
        <f>IFERROR(__xludf.DUMMYFUNCTION("""COMPUTED_VALUE"""),"Yes")</f>
        <v>Yes</v>
      </c>
      <c r="AI113" s="61" t="str">
        <f>IFERROR(__xludf.DUMMYFUNCTION("""COMPUTED_VALUE"""),"Documentation Executive")</f>
        <v>Documentation Executive</v>
      </c>
      <c r="AJ113" s="61" t="str">
        <f>IFERROR(__xludf.DUMMYFUNCTION("""COMPUTED_VALUE"""),"No. However, I served as President of the Study Abroad Club of Foreign Trade University, where I led a 40-member team and organized youth-oriented academic and cultural exchange initiatives.")</f>
        <v>No. However, I served as President of the Study Abroad Club of Foreign Trade University, where I led a 40-member team and organized youth-oriented academic and cultural exchange initiatives.</v>
      </c>
      <c r="AK113" s="61" t="str">
        <f>IFERROR(__xludf.DUMMYFUNCTION("""COMPUTED_VALUE"""),"I did not found the organization. The club aims to be a trusted platform that connects young people interested in overseas education, shares study-abroad information and experiences, and builds a dynamic community for global learning.")</f>
        <v>I did not found the organization. The club aims to be a trusted platform that connects young people interested in overseas education, shares study-abroad information and experiences, and builds a dynamic community for global learning.</v>
      </c>
      <c r="AL113" s="61" t="str">
        <f>IFERROR(__xludf.DUMMYFUNCTION("""COMPUTED_VALUE"""),"Youth leader with skills in project management, public relations, sponsorship development, stakeholder engagement, cross-cultural communication, event planning, and international trade documentation.")</f>
        <v>Youth leader with skills in project management, public relations, sponsorship development, stakeholder engagement, cross-cultural communication, event planning, and international trade documentation.</v>
      </c>
      <c r="AM113" s="61" t="str">
        <f>IFERROR(__xludf.DUMMYFUNCTION("""COMPUTED_VALUE"""),"CV_ HA TRANG THACH _ YPDS 2026.pdf")</f>
        <v>CV_ HA TRANG THACH _ YPDS 2026.pdf</v>
      </c>
      <c r="AN113" s="61" t="str">
        <f>IFERROR(__xludf.DUMMYFUNCTION("""COMPUTED_VALUE"""),"Yes, but I believe that meaningful change does not begin with grand ambitions - it begins within our own communities. Although I had dreamed of studying abroad since childhood, I was unable to pursue a full degree overseas after high school because I lack"&amp;"ed access to reliable information and proper guidance. That experience inspired me to join and later lead my university's Study Abroad Club. I led initiatives that connected thousands of both university and high school students with mentors, scholarships,"&amp;" and international education resources. I believe changing the world starts by ensuring that opportunities are no longer determined by where someone is born.")</f>
        <v>Yes, but I believe that meaningful change does not begin with grand ambitions - it begins within our own communities. Although I had dreamed of studying abroad since childhood, I was unable to pursue a full degree overseas after high school because I lacked access to reliable information and proper guidance. That experience inspired me to join and later lead my university's Study Abroad Club. I led initiatives that connected thousands of both university and high school students with mentors, scholarships, and international education resources. I believe changing the world starts by ensuring that opportunities are no longer determined by where someone is born.</v>
      </c>
      <c r="AO113" s="61" t="str">
        <f>IFERROR(__xludf.DUMMYFUNCTION("""COMPUTED_VALUE"""),"From my perspective, Indonesia is diplomatically significant as the leader of ASEAN and a bridge between the Global South and major economies. Its role in the Indo-Pacific framework, stewardship of ASEAN economic integration, and chairmanship of key G20 f"&amp;"orums demonstrate its growing agency in shaping regional trade rules, digital economy governance, and climate finance. For a young professional focused on cross-border business and economic cooperation - as reflected in my work with trade documentation an"&amp;"d international supplier relations - understanding Indonesia’s diplomatic strategy is essential. It exemplifies how middle powers can leverage economic diplomacy to foster inclusive growth and multilateral dialogue.")</f>
        <v>From my perspective, Indonesia is diplomatically significant as the leader of ASEAN and a bridge between the Global South and major economies. Its role in the Indo-Pacific framework, stewardship of ASEAN economic integration, and chairmanship of key G20 forums demonstrate its growing agency in shaping regional trade rules, digital economy governance, and climate finance. For a young professional focused on cross-border business and economic cooperation - as reflected in my work with trade documentation and international supplier relations - understanding Indonesia’s diplomatic strategy is essential. It exemplifies how middle powers can leverage economic diplomacy to foster inclusive growth and multilateral dialogue.</v>
      </c>
      <c r="AP113" s="61" t="str">
        <f>IFERROR(__xludf.DUMMYFUNCTION("""COMPUTED_VALUE"""),"I used to think that Diplomacy is state-to-people propaganda, happening only in conference rooms, led by governments and ambassadors. Today, I see Public Diplomacy being the daily work of building trust across cultures - and youth are the most agile trans"&amp;"lators.
As President of FTU's Study Abroad Club, I created spaces where local and international students could have meaningful conversations - breaking stereotypes through genuine dialogue. This is public diplomacy at the micro-level. Later, as a UNDP li"&amp;"aison at the 9th Global Young Parliamentarians Conference, I saw that even high-level diplomacy relies on young professionals handling operational details with cultural sensitivity.
Interestingly, even my current role handling cross-border contracts is a"&amp;" form of public diplomacy. Negotiating terms across cultures is not just legal parsing; it requires emotional intelligence to de-escalate friction and find mutually comprehensible trade languages.
I believe the youth's unique role is to humanize foreign "&amp;"policy. While governments formalize agreements, we build the interpersonal ecosystems that sustain them. I don't just 'relate' to public diplomacy - I practice it operationally. Attending YPDS in Jakarta would allow me to scale this grassroots 'translator"&amp;"' mindset into strategic frameworks for ASEAN's economic corridors, proving that the future of regional cooperation lies not in boardrooms, but in our daily cross-border interactions.")</f>
        <v>I used to think that Diplomacy is state-to-people propaganda, happening only in conference rooms, led by governments and ambassadors. Today, I see Public Diplomacy being the daily work of building trust across cultures - and youth are the most agile translators.
As President of FTU's Study Abroad Club, I created spaces where local and international students could have meaningful conversations - breaking stereotypes through genuine dialogue. This is public diplomacy at the micro-level. Later, as a UNDP liaison at the 9th Global Young Parliamentarians Conference, I saw that even high-level diplomacy relies on young professionals handling operational details with cultural sensitivity.
Interestingly, even my current role handling cross-border contracts is a form of public diplomacy. Negotiating terms across cultures is not just legal parsing; it requires emotional intelligence to de-escalate friction and find mutually comprehensible trade languages.
I believe the youth's unique role is to humanize foreign policy. While governments formalize agreements, we build the interpersonal ecosystems that sustain them. I don't just 'relate' to public diplomacy - I practice it operationally. Attending YPDS in Jakarta would allow me to scale this grassroots 'translator' mindset into strategic frameworks for ASEAN's economic corridors, proving that the future of regional cooperation lies not in boardrooms, but in our daily cross-border interactions.</v>
      </c>
      <c r="AQ113" s="61" t="str">
        <f>IFERROR(__xludf.DUMMYFUNCTION("""COMPUTED_VALUE"""),"To me, passion is not innate talent but the quiet resilience to persevere when progress is slow and the courage to try again after failure. Passion is not about being the brightest - it is about remaining when others have moved on.
I learned this through"&amp;" my own journey. I took the IELTS twice to enter Foreign Trade University, where I encountered what many call ""peer pressure"" - the feeling that peers seemed effortlessly superior.  I was accepted by only one student club among many applications - yet I"&amp;" committed myself fully to it. Through my involvement, I recognized the profound value it created, and resolved to sustain that mission. Two years later, I became its President, supporting thousands of students in accessing international opportunities.
T"&amp;"his is what passion means to me: transforming setbacks into motivation and rejections into lessons. It drives my work in cross-border trade, and my ambition to contribute to ASEAN's economic integration. I may not always be the best, but I will always be "&amp;"the one who stays until the goal is achieved.")</f>
        <v>To me, passion is not innate talent but the quiet resilience to persevere when progress is slow and the courage to try again after failure. Passion is not about being the brightest - it is about remaining when others have moved on.
I learned this through my own journey. I took the IELTS twice to enter Foreign Trade University, where I encountered what many call "peer pressure" - the feeling that peers seemed effortlessly superior.  I was accepted by only one student club among many applications - yet I committed myself fully to it. Through my involvement, I recognized the profound value it created, and resolved to sustain that mission. Two years later, I became its President, supporting thousands of students in accessing international opportunities.
This is what passion means to me: transforming setbacks into motivation and rejections into lessons. It drives my work in cross-border trade, and my ambition to contribute to ASEAN's economic integration. I may not always be the best, but I will always be the one who stays until the goal is achieved.</v>
      </c>
      <c r="AR113" s="61" t="str">
        <f>IFERROR(__xludf.DUMMYFUNCTION("""COMPUTED_VALUE"""),"Yes, I consider myself creative, but to me, creativity is not always about creating something entirely new. It is about improving an existing approach by identifying what is missing. When I led an academic competition as President of the Study Abroad Club"&amp;", I realized that our promotion mostly reached university students, while high school students were the ones who needed study-abroad guidance most. By bringing consultation booths directly to selected high schools, we expanded our reach and made the proje"&amp;"ct more convincing to partners.
I believe this mindset can become an effective public diplomacy strategy. Public diplomacy should not only promote a country to the outside world; it should also prepare its citizens to understand and represent their nation"&amp;"al values with confidence. Every individual, especially young people, can act as an informal ambassador, whether studying abroad, working with international partners, or simply interacting with foreigners. Young people are cultural translators: they turn "&amp;"national identity, values, and stories into language others can understand and trust.
Therefore, creative public diplomacy means building bridges from the inside out. A country should first help its citizens understand who they are and what they stand for"&amp;", then empower them to share those values authentically with the world.")</f>
        <v>Yes, I consider myself creative, but to me, creativity is not always about creating something entirely new. It is about improving an existing approach by identifying what is missing. When I led an academic competition as President of the Study Abroad Club, I realized that our promotion mostly reached university students, while high school students were the ones who needed study-abroad guidance most. By bringing consultation booths directly to selected high schools, we expanded our reach and made the project more convincing to partners.
I believe this mindset can become an effective public diplomacy strategy. Public diplomacy should not only promote a country to the outside world; it should also prepare its citizens to understand and represent their national values with confidence. Every individual, especially young people, can act as an informal ambassador, whether studying abroad, working with international partners, or simply interacting with foreigners. Young people are cultural translators: they turn national identity, values, and stories into language others can understand and trust.
Therefore, creative public diplomacy means building bridges from the inside out. A country should first help its citizens understand who they are and what they stand for, then empower them to share those values authentically with the world.</v>
      </c>
      <c r="AS113" s="61" t="str">
        <f>IFERROR(__xludf.DUMMYFUNCTION("""COMPUTED_VALUE"""),"Yes")</f>
        <v>Yes</v>
      </c>
      <c r="AT113" s="61" t="str">
        <f>IFERROR(__xludf.DUMMYFUNCTION("""COMPUTED_VALUE"""),"Yes")</f>
        <v>Yes</v>
      </c>
      <c r="AU113" s="61" t="str">
        <f>IFERROR(__xludf.DUMMYFUNCTION("""COMPUTED_VALUE"""),"Global Politics, Diplomacy &amp; Identities")</f>
        <v>Global Politics, Diplomacy &amp; Identities</v>
      </c>
      <c r="AV113" s="61" t="str">
        <f>IFERROR(__xludf.DUMMYFUNCTION("""COMPUTED_VALUE"""),"Scholarship portal")</f>
        <v>Scholarship portal</v>
      </c>
      <c r="AW113" s="61" t="str">
        <f>IFERROR(__xludf.DUMMYFUNCTION("""COMPUTED_VALUE"""),"Soft, Smart, and Hard Power")</f>
        <v>Soft, Smart, and Hard Power</v>
      </c>
      <c r="AX113" s="66" t="str">
        <f>IFERROR(__xludf.DUMMYFUNCTION("""COMPUTED_VALUE"""),"Yes")</f>
        <v>Yes</v>
      </c>
      <c r="AY113" s="66">
        <f>IFERROR(__xludf.DUMMYFUNCTION("""COMPUTED_VALUE"""),15.99)</f>
        <v>15.99</v>
      </c>
      <c r="AZ113" s="61"/>
      <c r="BA113" s="61"/>
      <c r="BB113" s="61"/>
      <c r="BC113" s="61"/>
      <c r="BD113" s="61"/>
      <c r="BE113" s="61"/>
      <c r="BF113" s="61"/>
      <c r="BG113" s="61"/>
      <c r="BH113" s="61"/>
      <c r="BI113" s="61"/>
      <c r="BJ113" s="61"/>
      <c r="BK113" s="61"/>
      <c r="BL113" s="61"/>
      <c r="BM113" s="61"/>
      <c r="BN113" s="61"/>
      <c r="BO113" s="61"/>
      <c r="BP113" s="61"/>
      <c r="BQ113" s="61"/>
      <c r="BR113" s="61"/>
    </row>
    <row r="114" ht="15.75" customHeight="1">
      <c r="A114" s="61" t="str">
        <f>IFERROR(__xludf.DUMMYFUNCTION("""COMPUTED_VALUE"""),"")</f>
        <v/>
      </c>
      <c r="B114" s="62">
        <f>IFERROR(__xludf.DUMMYFUNCTION("""COMPUTED_VALUE"""),135.0)</f>
        <v>135</v>
      </c>
      <c r="C114" s="61" t="str">
        <f>IFERROR(__xludf.DUMMYFUNCTION("""COMPUTED_VALUE"""),"Self")</f>
        <v>Self</v>
      </c>
      <c r="D114" s="63" t="str">
        <f>IFERROR(__xludf.DUMMYFUNCTION("""COMPUTED_VALUE"""),"Submitted")</f>
        <v>Submitted</v>
      </c>
      <c r="E114" s="63">
        <f>IFERROR(__xludf.DUMMYFUNCTION("""COMPUTED_VALUE"""),46208.81111111111)</f>
        <v>46208.81111</v>
      </c>
      <c r="F114" s="61" t="str">
        <f>IFERROR(__xludf.DUMMYFUNCTION("""COMPUTED_VALUE"""),"NURAY YERKINBEKOVA")</f>
        <v>NURAY YERKINBEKOVA</v>
      </c>
      <c r="G114" s="61" t="str">
        <f>IFERROR(__xludf.DUMMYFUNCTION("""COMPUTED_VALUE"""),"YERKINBEKOVA NURAY NURAKANKYZY")</f>
        <v>YERKINBEKOVA NURAY NURAKANKYZY</v>
      </c>
      <c r="H114" s="61" t="str">
        <f>IFERROR(__xludf.DUMMYFUNCTION("""COMPUTED_VALUE"""),"milkyway.silky@gmail.com")</f>
        <v>milkyway.silky@gmail.com</v>
      </c>
      <c r="I114" s="61" t="str">
        <f>IFERROR(__xludf.DUMMYFUNCTION("""COMPUTED_VALUE"""),"nurayyy120@gmail.com")</f>
        <v>nurayyy120@gmail.com</v>
      </c>
      <c r="J114" s="61" t="str">
        <f>IFERROR(__xludf.DUMMYFUNCTION("""COMPUTED_VALUE"""),"Akshatau st 544, Shymkent, Kazakhstan")</f>
        <v>Akshatau st 544, Shymkent, Kazakhstan</v>
      </c>
      <c r="K114" s="61" t="str">
        <f>IFERROR(__xludf.DUMMYFUNCTION("""COMPUTED_VALUE"""),"kazakh")</f>
        <v>kazakh</v>
      </c>
      <c r="L114" s="64" t="str">
        <f>IFERROR(__xludf.DUMMYFUNCTION("""COMPUTED_VALUE"""),"+77755540998")</f>
        <v>+77755540998</v>
      </c>
      <c r="M114" s="64">
        <f>IFERROR(__xludf.DUMMYFUNCTION("""COMPUTED_VALUE"""),38468.0)</f>
        <v>38468</v>
      </c>
      <c r="N114" s="61" t="str">
        <f>IFERROR(__xludf.DUMMYFUNCTION("""COMPUTED_VALUE"""),"N13618671")</f>
        <v>N13618671</v>
      </c>
      <c r="O114" s="61" t="str">
        <f>IFERROR(__xludf.DUMMYFUNCTION("""COMPUTED_VALUE"""),"+77770945946")</f>
        <v>+77770945946</v>
      </c>
      <c r="P114" s="65" t="str">
        <f>IFERROR(__xludf.DUMMYFUNCTION("""COMPUTED_VALUE"""),"https://www.linkedin.com/in/nur-ai-93bb20403?utm_source=share_via&amp;utm_content=profile&amp;utm_medium=member_ios")</f>
        <v>https://www.linkedin.com/in/nur-ai-93bb20403?utm_source=share_via&amp;utm_content=profile&amp;utm_medium=member_ios</v>
      </c>
      <c r="Q114" s="61"/>
      <c r="R114" s="61"/>
      <c r="S114" s="61" t="str">
        <f>IFERROR(__xludf.DUMMYFUNCTION("""COMPUTED_VALUE"""),"050426600629-20260702191121175.pdf")</f>
        <v>050426600629-20260702191121175.pdf</v>
      </c>
      <c r="T114" s="61" t="str">
        <f>IFERROR(__xludf.DUMMYFUNCTION("""COMPUTED_VALUE"""),"IMG_6999.HEIC, IMG_7056.HEIC, 49debdbd-e95a-4be7-804d-866e420e83c0.JPG")</f>
        <v>IMG_6999.HEIC, IMG_7056.HEIC, 49debdbd-e95a-4be7-804d-866e420e83c0.JPG</v>
      </c>
      <c r="U114" s="61" t="str">
        <f>IFERROR(__xludf.DUMMYFUNCTION("""COMPUTED_VALUE"""),"Bechalors")</f>
        <v>Bechalors</v>
      </c>
      <c r="V114" s="61" t="str">
        <f>IFERROR(__xludf.DUMMYFUNCTION("""COMPUTED_VALUE"""),"3")</f>
        <v>3</v>
      </c>
      <c r="W114" s="61" t="str">
        <f>IFERROR(__xludf.DUMMYFUNCTION("""COMPUTED_VALUE"""),"International Relations")</f>
        <v>International Relations</v>
      </c>
      <c r="X114" s="61" t="str">
        <f>IFERROR(__xludf.DUMMYFUNCTION("""COMPUTED_VALUE"""),"Kazakh-German University")</f>
        <v>Kazakh-German University</v>
      </c>
      <c r="Y114" s="61" t="str">
        <f>IFERROR(__xludf.DUMMYFUNCTION("""COMPUTED_VALUE"""),"Yes")</f>
        <v>Yes</v>
      </c>
      <c r="Z114" s="61" t="str">
        <f>IFERROR(__xludf.DUMMYFUNCTION("""COMPUTED_VALUE"""),"Kazakhstan")</f>
        <v>Kazakhstan</v>
      </c>
      <c r="AA114" s="61" t="str">
        <f>IFERROR(__xludf.DUMMYFUNCTION("""COMPUTED_VALUE"""),"Yes")</f>
        <v>Yes</v>
      </c>
      <c r="AB114" s="61" t="str">
        <f>IFERROR(__xludf.DUMMYFUNCTION("""COMPUTED_VALUE"""),"it was a school in Prague, I was learning general English in jipka jazyková škola")</f>
        <v>it was a school in Prague, I was learning general English in jipka jazyková škola</v>
      </c>
      <c r="AC114" s="61"/>
      <c r="AD114" s="61" t="str">
        <f>IFERROR(__xludf.DUMMYFUNCTION("""COMPUTED_VALUE"""),"idp centre")</f>
        <v>idp centre</v>
      </c>
      <c r="AE114" s="65" t="str">
        <f>IFERROR(__xludf.DUMMYFUNCTION("""COMPUTED_VALUE"""),"https://idp-ielts.kz/idpinternship2025")</f>
        <v>https://idp-ielts.kz/idpinternship2025</v>
      </c>
      <c r="AF114" s="61" t="str">
        <f>IFERROR(__xludf.DUMMYFUNCTION("""COMPUTED_VALUE"""),"intern")</f>
        <v>intern</v>
      </c>
      <c r="AG114" s="61" t="str">
        <f>IFERROR(__xludf.DUMMYFUNCTION("""COMPUTED_VALUE"""),"2026")</f>
        <v>2026</v>
      </c>
      <c r="AH114" s="61" t="str">
        <f>IFERROR(__xludf.DUMMYFUNCTION("""COMPUTED_VALUE"""),"No")</f>
        <v>No</v>
      </c>
      <c r="AI114" s="61"/>
      <c r="AJ114" s="61"/>
      <c r="AK114" s="61"/>
      <c r="AL114" s="61" t="str">
        <f>IFERROR(__xludf.DUMMYFUNCTION("""COMPUTED_VALUE"""),"leadership, problem-solving, research, public speaking Content writing, social media management,  project management, event organization,  English (B2/C1) , critical thinking, public speaking Photography, graphic design (Canva), content creation,")</f>
        <v>leadership, problem-solving, research, public speaking Content writing, social media management,  project management, event organization,  English (B2/C1) , critical thinking, public speaking Photography, graphic design (Canva), content creation,</v>
      </c>
      <c r="AM114" s="61" t="str">
        <f>IFERROR(__xludf.DUMMYFUNCTION("""COMPUTED_VALUE"""),"Yerkinbekova_Nuray_CV.docx")</f>
        <v>Yerkinbekova_Nuray_CV.docx</v>
      </c>
      <c r="AN114" s="61" t="str">
        <f>IFERROR(__xludf.DUMMYFUNCTION("""COMPUTED_VALUE"""),"Yes. I believe meaningful change begins with small, consistent actions. I have contributed by volunteering in environmental initiatives, where I participated in waste sorting and community clean-up activities. I also volunteered as a drawing tutor for chi"&amp;"ldren, helping them develop creativity, confidence, and self-expression through art. In addition, I have been actively involved in youth diplomacy and educational events, promoting international cooperation and creating opportunities for young people to l"&amp;"earn, connect, and exchange ideas. Through these experiences, I have learned that even small contributions can create a positive impact on individuals and communities.")</f>
        <v>Yes. I believe meaningful change begins with small, consistent actions. I have contributed by volunteering in environmental initiatives, where I participated in waste sorting and community clean-up activities. I also volunteered as a drawing tutor for children, helping them develop creativity, confidence, and self-expression through art. In addition, I have been actively involved in youth diplomacy and educational events, promoting international cooperation and creating opportunities for young people to learn, connect, and exchange ideas. Through these experiences, I have learned that even small contributions can create a positive impact on individuals and communities.</v>
      </c>
      <c r="AO114" s="61" t="str">
        <f>IFERROR(__xludf.DUMMYFUNCTION("""COMPUTED_VALUE"""),"I believe Switzerland is one of the most diplomatically significant countries in the world. Its long-standing policy of neutrality has enabled it to act as a trusted mediator in international conflicts and peace negotiations. Switzerland hosts numerous in"&amp;"ternational organizations, including the United Nations Office in Geneva, the World Health Organization, and the International Committee of the Red Cross, making it a global center for diplomacy and humanitarian cooperation. By providing a platform for di"&amp;"alogue and promoting international law, Switzerland contributes to peaceful conflict resolution and global governance. Its commitment to diplomacy demonstrates how trust, neutrality, and cooperation can strengthen international relations.")</f>
        <v>I believe Switzerland is one of the most diplomatically significant countries in the world. Its long-standing policy of neutrality has enabled it to act as a trusted mediator in international conflicts and peace negotiations. Switzerland hosts numerous international organizations, including the United Nations Office in Geneva, the World Health Organization, and the International Committee of the Red Cross, making it a global center for diplomacy and humanitarian cooperation. By providing a platform for dialogue and promoting international law, Switzerland contributes to peaceful conflict resolution and global governance. Its commitment to diplomacy demonstrates how trust, neutrality, and cooperation can strengthen international relations.</v>
      </c>
      <c r="AP114" s="61" t="str">
        <f>IFERROR(__xludf.DUMMYFUNCTION("""COMPUTED_VALUE"""),"I believe young people play a vital role in diplomacy because they bring fresh ideas, creativity, and a willingness to cooperate across cultures. In today’s interconnected world, diplomacy is no longer limited to governments and diplomats. Young people ca"&amp;"n contribute by participating in international exchanges, youth forums, volunteer initiatives, and educational programs that promote dialogue and mutual understanding.
Public diplomacy, in my view, is about building trust and strengthening relationships "&amp;"between people from different countries. It allows individuals to represent their culture, values, and perspectives while learning from others. I strongly relate to this idea because I believe that meaningful international cooperation begins with communic"&amp;"ation and respect.
As an International Relations student, I have participated in youth diplomacy activities, Model United Nations conferences, and volunteer projects, where I developed communication, teamwork, and intercultural skills. These experiences "&amp;"showed me that even small initiatives can create lasting connections and encourage cooperation between communities.
I hope to continue contributing to public diplomacy by engaging in international programs, promoting cultural exchange, and encouraging di"&amp;"alogue among young people. I believe that the next generation has both the responsibility and the opportunity to build a more peaceful, inclusive, and cooperative world through understanding, collaboration, and active civic engagement.")</f>
        <v>I believe young people play a vital role in diplomacy because they bring fresh ideas, creativity, and a willingness to cooperate across cultures. In today’s interconnected world, diplomacy is no longer limited to governments and diplomats. Young people can contribute by participating in international exchanges, youth forums, volunteer initiatives, and educational programs that promote dialogue and mutual understanding.
Public diplomacy, in my view, is about building trust and strengthening relationships between people from different countries. It allows individuals to represent their culture, values, and perspectives while learning from others. I strongly relate to this idea because I believe that meaningful international cooperation begins with communication and respect.
As an International Relations student, I have participated in youth diplomacy activities, Model United Nations conferences, and volunteer projects, where I developed communication, teamwork, and intercultural skills. These experiences showed me that even small initiatives can create lasting connections and encourage cooperation between communities.
I hope to continue contributing to public diplomacy by engaging in international programs, promoting cultural exchange, and encouraging dialogue among young people. I believe that the next generation has both the responsibility and the opportunity to build a more peaceful, inclusive, and cooperative world through understanding, collaboration, and active civic engagement.</v>
      </c>
      <c r="AQ114" s="61" t="str">
        <f>IFERROR(__xludf.DUMMYFUNCTION("""COMPUTED_VALUE"""),"Passion is the inner motivation that inspires people to keep learning, improving, and pursuing their goals despite challenges. It gives purpose to our actions and helps us remain committed even when success does not come immediately. Passion is not only a"&amp;"bout enjoying what you do but also about being willing to invest time, effort, and perseverance to achieve meaningful results. For me, passion is closely connected to my interest in international relations, diplomacy, and youth engagement. It motivates me"&amp;" to participate in volunteer projects, educational events, and opportunities that allow me to develop new skills and broaden my perspective. Whenever I face obstacles, my passion reminds me why I started and encourages me to continue moving forward.
I bel"&amp;"ieve that passion, combined with discipline and continuous learning, is one of the most important factors in achieving long-term goals. It transforms ambition into action and helps people create a positive impact on their communities and the world.")</f>
        <v>Passion is the inner motivation that inspires people to keep learning, improving, and pursuing their goals despite challenges. It gives purpose to our actions and helps us remain committed even when success does not come immediately. Passion is not only about enjoying what you do but also about being willing to invest time, effort, and perseverance to achieve meaningful results. For me, passion is closely connected to my interest in international relations, diplomacy, and youth engagement. It motivates me to participate in volunteer projects, educational events, and opportunities that allow me to develop new skills and broaden my perspective. Whenever I face obstacles, my passion reminds me why I started and encourages me to continue moving forward.
I believe that passion, combined with discipline and continuous learning, is one of the most important factors in achieving long-term goals. It transforms ambition into action and helps people create a positive impact on their communities and the world.</v>
      </c>
      <c r="AR114" s="61" t="str">
        <f>IFERROR(__xludf.DUMMYFUNCTION("""COMPUTED_VALUE"""),"Yes, I consider myself a creative person. Creativity is not only about art or design; it is also about finding innovative ways to communicate ideas, solve problems, and connect with people. Through my experience in youth initiatives, volunteer work, and e"&amp;"vent organization, I have learned how creativity can make messages more engaging and impactful.
In public diplomacy, creativity is essential for building mutual understanding between cultures. An effective public diplomacy strategy should go beyond forma"&amp;"l communication and create meaningful people-to-people connections. For example, cultural exchange programs, social media campaigns, educational projects, and youth-led events can make diplomacy more accessible and relatable to younger generations.
If gi"&amp;"ven the opportunity, I would use creative storytelling and digital platforms to promote intercultural dialogue. Sharing personal experiences, success stories, and cultural traditions through videos, workshops, and interactive discussions can help break st"&amp;"ereotypes and encourage empathy. I would also involve young people in the process, as they are often the most effective ambassadors of their communities and values.
I believe creativity strengthens public diplomacy by making communication more authentic,"&amp;" inclusive, and memorable. By combining innovative ideas with meaningful dialogue, it is possible to build trust, foster international cooperation, and create lasting connections between people from different backgrounds.")</f>
        <v>Yes, I consider myself a creative person. Creativity is not only about art or design; it is also about finding innovative ways to communicate ideas, solve problems, and connect with people. Through my experience in youth initiatives, volunteer work, and event organization, I have learned how creativity can make messages more engaging and impactful.
In public diplomacy, creativity is essential for building mutual understanding between cultures. An effective public diplomacy strategy should go beyond formal communication and create meaningful people-to-people connections. For example, cultural exchange programs, social media campaigns, educational projects, and youth-led events can make diplomacy more accessible and relatable to younger generations.
If given the opportunity, I would use creative storytelling and digital platforms to promote intercultural dialogue. Sharing personal experiences, success stories, and cultural traditions through videos, workshops, and interactive discussions can help break stereotypes and encourage empathy. I would also involve young people in the process, as they are often the most effective ambassadors of their communities and values.
I believe creativity strengthens public diplomacy by making communication more authentic, inclusive, and memorable. By combining innovative ideas with meaningful dialogue, it is possible to build trust, foster international cooperation, and create lasting connections between people from different backgrounds.</v>
      </c>
      <c r="AS114" s="61" t="str">
        <f>IFERROR(__xludf.DUMMYFUNCTION("""COMPUTED_VALUE"""),"Yes")</f>
        <v>Yes</v>
      </c>
      <c r="AT114" s="61" t="str">
        <f>IFERROR(__xludf.DUMMYFUNCTION("""COMPUTED_VALUE"""),"Yes")</f>
        <v>Yes</v>
      </c>
      <c r="AU114" s="61" t="str">
        <f>IFERROR(__xludf.DUMMYFUNCTION("""COMPUTED_VALUE"""),"Arts, Culture &amp; Soft Power")</f>
        <v>Arts, Culture &amp; Soft Power</v>
      </c>
      <c r="AV114" s="61" t="str">
        <f>IFERROR(__xludf.DUMMYFUNCTION("""COMPUTED_VALUE"""),"friend to friend")</f>
        <v>friend to friend</v>
      </c>
      <c r="AW114" s="61" t="str">
        <f>IFERROR(__xludf.DUMMYFUNCTION("""COMPUTED_VALUE"""),"International Relations and Global Politics and arts")</f>
        <v>International Relations and Global Politics and arts</v>
      </c>
      <c r="AX114" s="66" t="str">
        <f>IFERROR(__xludf.DUMMYFUNCTION("""COMPUTED_VALUE"""),"Yes")</f>
        <v>Yes</v>
      </c>
      <c r="AY114" s="66">
        <f>IFERROR(__xludf.DUMMYFUNCTION("""COMPUTED_VALUE"""),15.99)</f>
        <v>15.99</v>
      </c>
      <c r="AZ114" s="61"/>
      <c r="BA114" s="61"/>
      <c r="BB114" s="61"/>
      <c r="BC114" s="61"/>
      <c r="BD114" s="61"/>
      <c r="BE114" s="61"/>
      <c r="BF114" s="61"/>
      <c r="BG114" s="61"/>
      <c r="BH114" s="61"/>
      <c r="BI114" s="61"/>
      <c r="BJ114" s="61"/>
      <c r="BK114" s="61"/>
      <c r="BL114" s="61"/>
      <c r="BM114" s="61"/>
      <c r="BN114" s="61"/>
      <c r="BO114" s="61"/>
      <c r="BP114" s="61"/>
      <c r="BQ114" s="61"/>
      <c r="BR114" s="61"/>
    </row>
    <row r="115" ht="15.75" customHeight="1">
      <c r="A115" s="61" t="str">
        <f>IFERROR(__xludf.DUMMYFUNCTION("""COMPUTED_VALUE"""),"Partial/Full")</f>
        <v>Partial/Full</v>
      </c>
      <c r="B115" s="62">
        <f>IFERROR(__xludf.DUMMYFUNCTION("""COMPUTED_VALUE"""),136.0)</f>
        <v>136</v>
      </c>
      <c r="C115" s="61" t="str">
        <f>IFERROR(__xludf.DUMMYFUNCTION("""COMPUTED_VALUE"""),"Partial")</f>
        <v>Partial</v>
      </c>
      <c r="D115" s="63" t="str">
        <f>IFERROR(__xludf.DUMMYFUNCTION("""COMPUTED_VALUE"""),"Submitted")</f>
        <v>Submitted</v>
      </c>
      <c r="E115" s="63">
        <f>IFERROR(__xludf.DUMMYFUNCTION("""COMPUTED_VALUE"""),46208.82222222222)</f>
        <v>46208.82222</v>
      </c>
      <c r="F115" s="61" t="str">
        <f>IFERROR(__xludf.DUMMYFUNCTION("""COMPUTED_VALUE"""),"Azizbek Akbarov")</f>
        <v>Azizbek Akbarov</v>
      </c>
      <c r="G115" s="61" t="str">
        <f>IFERROR(__xludf.DUMMYFUNCTION("""COMPUTED_VALUE"""),"AKBAROV AZIZBEK")</f>
        <v>AKBAROV AZIZBEK</v>
      </c>
      <c r="H115" s="61" t="str">
        <f>IFERROR(__xludf.DUMMYFUNCTION("""COMPUTED_VALUE"""),"azizv0127@gmail.com")</f>
        <v>azizv0127@gmail.com</v>
      </c>
      <c r="I115" s="61" t="str">
        <f>IFERROR(__xludf.DUMMYFUNCTION("""COMPUTED_VALUE"""),"wooseok2701@gmail.com")</f>
        <v>wooseok2701@gmail.com</v>
      </c>
      <c r="J115" s="61" t="str">
        <f>IFERROR(__xludf.DUMMYFUNCTION("""COMPUTED_VALUE"""),"146, Baengnyeong-ro, Chuncheon-si, Gangwon-do, Chuncheon city, Korea, Republic of (South Korea)")</f>
        <v>146, Baengnyeong-ro, Chuncheon-si, Gangwon-do, Chuncheon city, Korea, Republic of (South Korea)</v>
      </c>
      <c r="K115" s="61" t="str">
        <f>IFERROR(__xludf.DUMMYFUNCTION("""COMPUTED_VALUE"""),"Uzbekistan")</f>
        <v>Uzbekistan</v>
      </c>
      <c r="L115" s="64" t="str">
        <f>IFERROR(__xludf.DUMMYFUNCTION("""COMPUTED_VALUE"""),"+821075698444")</f>
        <v>+821075698444</v>
      </c>
      <c r="M115" s="64">
        <f>IFERROR(__xludf.DUMMYFUNCTION("""COMPUTED_VALUE"""),39109.0)</f>
        <v>39109</v>
      </c>
      <c r="N115" s="61" t="str">
        <f>IFERROR(__xludf.DUMMYFUNCTION("""COMPUTED_VALUE"""),"FA9213756")</f>
        <v>FA9213756</v>
      </c>
      <c r="O115" s="61" t="str">
        <f>IFERROR(__xludf.DUMMYFUNCTION("""COMPUTED_VALUE"""),"+821079985554")</f>
        <v>+821079985554</v>
      </c>
      <c r="P115" s="61"/>
      <c r="Q115" s="61" t="str">
        <f>IFERROR(__xludf.DUMMYFUNCTION("""COMPUTED_VALUE"""),"aaa.o.c")</f>
        <v>aaa.o.c</v>
      </c>
      <c r="R115" s="61"/>
      <c r="S115" s="61" t="str">
        <f>IFERROR(__xludf.DUMMYFUNCTION("""COMPUTED_VALUE"""),"20240913160916.pdf")</f>
        <v>20240913160916.pdf</v>
      </c>
      <c r="T115" s="61" t="str">
        <f>IFERROR(__xludf.DUMMYFUNCTION("""COMPUTED_VALUE"""),"AZIZBEK AKBAROV_Uzbekistan.JPG")</f>
        <v>AZIZBEK AKBAROV_Uzbekistan.JPG</v>
      </c>
      <c r="U115" s="61" t="str">
        <f>IFERROR(__xludf.DUMMYFUNCTION("""COMPUTED_VALUE"""),"Bachelors")</f>
        <v>Bachelors</v>
      </c>
      <c r="V115" s="61" t="str">
        <f>IFERROR(__xludf.DUMMYFUNCTION("""COMPUTED_VALUE"""),"3rd year undergraduate")</f>
        <v>3rd year undergraduate</v>
      </c>
      <c r="W115" s="61" t="str">
        <f>IFERROR(__xludf.DUMMYFUNCTION("""COMPUTED_VALUE"""),"Global Convergence")</f>
        <v>Global Convergence</v>
      </c>
      <c r="X115" s="61" t="str">
        <f>IFERROR(__xludf.DUMMYFUNCTION("""COMPUTED_VALUE"""),"Kangwon National University (KNU)")</f>
        <v>Kangwon National University (KNU)</v>
      </c>
      <c r="Y115" s="61" t="str">
        <f>IFERROR(__xludf.DUMMYFUNCTION("""COMPUTED_VALUE"""),"Yes")</f>
        <v>Yes</v>
      </c>
      <c r="Z115" s="61" t="str">
        <f>IFERROR(__xludf.DUMMYFUNCTION("""COMPUTED_VALUE"""),"Korea, the Republic of")</f>
        <v>Korea, the Republic of</v>
      </c>
      <c r="AA115" s="61" t="str">
        <f>IFERROR(__xludf.DUMMYFUNCTION("""COMPUTED_VALUE"""),"No")</f>
        <v>No</v>
      </c>
      <c r="AB115" s="61"/>
      <c r="AC115" s="61" t="str">
        <f>IFERROR(__xludf.DUMMYFUNCTION("""COMPUTED_VALUE"""),"Yes, I have done it before")</f>
        <v>Yes, I have done it before</v>
      </c>
      <c r="AD115" s="61" t="str">
        <f>IFERROR(__xludf.DUMMYFUNCTION("""COMPUTED_VALUE"""),"Yes. The volunteer program I attended was called “2026 Kangwon Land Coal Transition Region Volunteer Program”")</f>
        <v>Yes. The volunteer program I attended was called “2026 Kangwon Land Coal Transition Region Volunteer Program”</v>
      </c>
      <c r="AE115" s="65" t="str">
        <f>IFERROR(__xludf.DUMMYFUNCTION("""COMPUTED_VALUE"""),"https://high1.com")</f>
        <v>https://high1.com</v>
      </c>
      <c r="AF115" s="61" t="str">
        <f>IFERROR(__xludf.DUMMYFUNCTION("""COMPUTED_VALUE"""),"I was selected as a leader of assigned one of six groups")</f>
        <v>I was selected as a leader of assigned one of six groups</v>
      </c>
      <c r="AG115" s="61" t="str">
        <f>IFERROR(__xludf.DUMMYFUNCTION("""COMPUTED_VALUE"""),"Less than a year in the field of volunteering")</f>
        <v>Less than a year in the field of volunteering</v>
      </c>
      <c r="AH115" s="61" t="str">
        <f>IFERROR(__xludf.DUMMYFUNCTION("""COMPUTED_VALUE"""),"No")</f>
        <v>No</v>
      </c>
      <c r="AI115" s="61"/>
      <c r="AJ115" s="61"/>
      <c r="AK115" s="61"/>
      <c r="AL115" s="61" t="str">
        <f>IFERROR(__xludf.DUMMYFUNCTION("""COMPUTED_VALUE"""),"Global Business Student with experience in education, volunteering, leadership, and cross-cultural collaboration.")</f>
        <v>Global Business Student with experience in education, volunteering, leadership, and cross-cultural collaboration.</v>
      </c>
      <c r="AM115" s="61" t="str">
        <f>IFERROR(__xludf.DUMMYFUNCTION("""COMPUTED_VALUE"""),"CV .pdf")</f>
        <v>CV .pdf</v>
      </c>
      <c r="AN115" s="61" t="str">
        <f>IFERROR(__xludf.DUMMYFUNCTION("""COMPUTED_VALUE"""),"Yes. I believe meaningful change begins with small, consistent actions. As an international student in South Korea, I have volunteered in community projects, including a regional volunteer program supporting local communities affected by industrial transi"&amp;"tion. I have also taught English, helping students gain confidence and broaden their opportunities. Living abroad has shown me the importance of empathy, cultural understanding, and service. Beyond volunteering, I actively encourage others to take part in"&amp;" community initiatives and believe leadership is about inspiring action, not seeking recognition. My goal is to continue creating opportunities that empower people and contribute to stronger, more connected communities.")</f>
        <v>Yes. I believe meaningful change begins with small, consistent actions. As an international student in South Korea, I have volunteered in community projects, including a regional volunteer program supporting local communities affected by industrial transition. I have also taught English, helping students gain confidence and broaden their opportunities. Living abroad has shown me the importance of empathy, cultural understanding, and service. Beyond volunteering, I actively encourage others to take part in community initiatives and believe leadership is about inspiring action, not seeking recognition. My goal is to continue creating opportunities that empower people and contribute to stronger, more connected communities.</v>
      </c>
      <c r="AO115" s="61" t="str">
        <f>IFERROR(__xludf.DUMMYFUNCTION("""COMPUTED_VALUE"""),"I consider Switzerland one of the world’s most diplomatically significant countries because of its long-standing neutrality and its role as a global center for dialogue and international cooperation. It hosts numerous international organizations and provi"&amp;"des a trusted platform for peace negotiations, humanitarian efforts, and multilateral diplomacy. Switzerland demonstrates that diplomacy is built not only on political influence but also on trust, impartiality, and collaboration. I believe its commitment "&amp;"to fostering dialogue and peaceful solutions makes it an inspiring example of how diplomacy can contribute to global stability and mutual understanding.")</f>
        <v>I consider Switzerland one of the world’s most diplomatically significant countries because of its long-standing neutrality and its role as a global center for dialogue and international cooperation. It hosts numerous international organizations and provides a trusted platform for peace negotiations, humanitarian efforts, and multilateral diplomacy. Switzerland demonstrates that diplomacy is built not only on political influence but also on trust, impartiality, and collaboration. I believe its commitment to fostering dialogue and peaceful solutions makes it an inspiring example of how diplomacy can contribute to global stability and mutual understanding.</v>
      </c>
      <c r="AP115" s="61" t="str">
        <f>IFERROR(__xludf.DUMMYFUNCTION("""COMPUTED_VALUE"""),"Youth play a vital role in diplomacy because they bring fresh perspectives, adaptability, and the willingness to build connections beyond political or cultural differences. In today’s interconnected world, diplomacy is no longer limited to governments. Ev"&amp;"ery meaningful conversation, cultural exchange, and collaborative project has the potential to strengthen mutual understanding.
As an international student in South Korea, I experience public diplomacy in my daily life. By studying, volunteering, and int"&amp;"eracting with people from different countries, I have learned that representing my own culture also means respecting and learning from others. These experiences have taught me that trust is built through genuine relationships rather than formal negotiatio"&amp;"ns alone.
To me, public diplomacy is about creating people-to-people connections that encourage cooperation, reduce misunderstandings, and inspire shared solutions to global challenges. I believe young people are uniquely positioned to lead these efforts"&amp;" because we are more connected than any previous generation and can use education, technology, and cultural exchange to bridge divides.
I hope to contribute by promoting intercultural dialogue, encouraging youth collaboration across borders, and using my"&amp;" experiences to inspire others to see diversity as a strength rather than a barrier.")</f>
        <v>Youth play a vital role in diplomacy because they bring fresh perspectives, adaptability, and the willingness to build connections beyond political or cultural differences. In today’s interconnected world, diplomacy is no longer limited to governments. Every meaningful conversation, cultural exchange, and collaborative project has the potential to strengthen mutual understanding.
As an international student in South Korea, I experience public diplomacy in my daily life. By studying, volunteering, and interacting with people from different countries, I have learned that representing my own culture also means respecting and learning from others. These experiences have taught me that trust is built through genuine relationships rather than formal negotiations alone.
To me, public diplomacy is about creating people-to-people connections that encourage cooperation, reduce misunderstandings, and inspire shared solutions to global challenges. I believe young people are uniquely positioned to lead these efforts because we are more connected than any previous generation and can use education, technology, and cultural exchange to bridge divides.
I hope to contribute by promoting intercultural dialogue, encouraging youth collaboration across borders, and using my experiences to inspire others to see diversity as a strength rather than a barrier.</v>
      </c>
      <c r="AQ115" s="61" t="str">
        <f>IFERROR(__xludf.DUMMYFUNCTION("""COMPUTED_VALUE"""),"To me, passion is the inner drive that keeps a person moving forward, even when progress is slow or challenges seem overwhelming. It is not just excitement or motivation for a short period; it is the commitment to continue learning, improving, and contrib"&amp;"uting despite setbacks.
Passion has been the foundation of my personal and academic journey. Moving to South Korea as an international student required me to adapt to a new language, culture, and environment. Instead of seeing these challenges as obstacl"&amp;"es, I viewed them as opportunities to grow. My passion for learning, serving others through volunteering, and building an international career has motivated me to stay disciplined and embrace every experience as a chance to develop.
I believe passion giv"&amp;"es purpose to our actions. It transforms goals into meaningful missions, strengthens resilience during difficult times, and inspires us to create a positive impact on the people and communities around us.")</f>
        <v>To me, passion is the inner drive that keeps a person moving forward, even when progress is slow or challenges seem overwhelming. It is not just excitement or motivation for a short period; it is the commitment to continue learning, improving, and contributing despite setbacks.
Passion has been the foundation of my personal and academic journey. Moving to South Korea as an international student required me to adapt to a new language, culture, and environment. Instead of seeing these challenges as obstacles, I viewed them as opportunities to grow. My passion for learning, serving others through volunteering, and building an international career has motivated me to stay disciplined and embrace every experience as a chance to develop.
I believe passion gives purpose to our actions. It transforms goals into meaningful missions, strengthens resilience during difficult times, and inspires us to create a positive impact on the people and communities around us.</v>
      </c>
      <c r="AR115" s="61" t="str">
        <f>IFERROR(__xludf.DUMMYFUNCTION("""COMPUTED_VALUE"""),"Yes, I consider myself a creative person because I enjoy finding practical ways to connect people, communicate ideas, and solve problems. To me, creativity is not only about art or design; it is about approaching challenges with curiosity and developing s"&amp;"olutions that bring people together.
I believe creativity is one of the strongest tools in public diplomacy. A single story, cultural exchange, or community project can create understanding where stereotypes or misunderstandings once existed. As an inter"&amp;"national student in South Korea, I have experienced how meaningful conversations and shared experiences can build trust between people from different backgrounds. Through volunteering and engaging with diverse communities, I have learned that genuine huma"&amp;"n connections often have a greater impact than formal messages.
If given the opportunity, I would use creativity to promote public diplomacy by organizing youth-led cultural exchange activities, sharing authentic stories through digital platforms, and en"&amp;"couraging collaborative projects that celebrate diversity. These initiatives can make diplomacy more personal, accessible, and inclusive.
I believe effective public diplomacy begins with listening, understanding different perspectives, and creating oppor"&amp;"tunities for people to learn from one another. Creativity transforms those opportunities into lasting connections that inspire cooperation and mutual respect.")</f>
        <v>Yes, I consider myself a creative person because I enjoy finding practical ways to connect people, communicate ideas, and solve problems. To me, creativity is not only about art or design; it is about approaching challenges with curiosity and developing solutions that bring people together.
I believe creativity is one of the strongest tools in public diplomacy. A single story, cultural exchange, or community project can create understanding where stereotypes or misunderstandings once existed. As an international student in South Korea, I have experienced how meaningful conversations and shared experiences can build trust between people from different backgrounds. Through volunteering and engaging with diverse communities, I have learned that genuine human connections often have a greater impact than formal messages.
If given the opportunity, I would use creativity to promote public diplomacy by organizing youth-led cultural exchange activities, sharing authentic stories through digital platforms, and encouraging collaborative projects that celebrate diversity. These initiatives can make diplomacy more personal, accessible, and inclusive.
I believe effective public diplomacy begins with listening, understanding different perspectives, and creating opportunities for people to learn from one another. Creativity transforms those opportunities into lasting connections that inspire cooperation and mutual respect.</v>
      </c>
      <c r="AS115" s="61" t="str">
        <f>IFERROR(__xludf.DUMMYFUNCTION("""COMPUTED_VALUE"""),"Yes")</f>
        <v>Yes</v>
      </c>
      <c r="AT115" s="61" t="str">
        <f>IFERROR(__xludf.DUMMYFUNCTION("""COMPUTED_VALUE"""),"Yes")</f>
        <v>Yes</v>
      </c>
      <c r="AU115" s="61" t="str">
        <f>IFERROR(__xludf.DUMMYFUNCTION("""COMPUTED_VALUE"""),"Global Politics, Diplomacy &amp; Identities")</f>
        <v>Global Politics, Diplomacy &amp; Identities</v>
      </c>
      <c r="AV115" s="61" t="str">
        <f>IFERROR(__xludf.DUMMYFUNCTION("""COMPUTED_VALUE"""),"Scholarships portal")</f>
        <v>Scholarships portal</v>
      </c>
      <c r="AW115" s="61" t="str">
        <f>IFERROR(__xludf.DUMMYFUNCTION("""COMPUTED_VALUE"""),"Public Diplomacy in the 21st century")</f>
        <v>Public Diplomacy in the 21st century</v>
      </c>
      <c r="AX115" s="66" t="str">
        <f>IFERROR(__xludf.DUMMYFUNCTION("""COMPUTED_VALUE"""),"Yes")</f>
        <v>Yes</v>
      </c>
      <c r="AY115" s="66">
        <f>IFERROR(__xludf.DUMMYFUNCTION("""COMPUTED_VALUE"""),15.99)</f>
        <v>15.99</v>
      </c>
      <c r="AZ115" s="61"/>
      <c r="BA115" s="61"/>
      <c r="BB115" s="61"/>
      <c r="BC115" s="61"/>
      <c r="BD115" s="61"/>
      <c r="BE115" s="61"/>
      <c r="BF115" s="61"/>
      <c r="BG115" s="61"/>
      <c r="BH115" s="61"/>
      <c r="BI115" s="61"/>
      <c r="BJ115" s="61"/>
      <c r="BK115" s="61"/>
      <c r="BL115" s="61"/>
      <c r="BM115" s="61"/>
      <c r="BN115" s="61"/>
      <c r="BO115" s="61"/>
      <c r="BP115" s="61"/>
      <c r="BQ115" s="61"/>
      <c r="BR115" s="61"/>
    </row>
    <row r="116" ht="15.75" customHeight="1">
      <c r="A116" s="61" t="str">
        <f>IFERROR(__xludf.DUMMYFUNCTION("""COMPUTED_VALUE"""),"Self")</f>
        <v>Self</v>
      </c>
      <c r="B116" s="62">
        <f>IFERROR(__xludf.DUMMYFUNCTION("""COMPUTED_VALUE"""),137.0)</f>
        <v>137</v>
      </c>
      <c r="C116" s="61" t="str">
        <f>IFERROR(__xludf.DUMMYFUNCTION("""COMPUTED_VALUE"""),"Self")</f>
        <v>Self</v>
      </c>
      <c r="D116" s="63" t="str">
        <f>IFERROR(__xludf.DUMMYFUNCTION("""COMPUTED_VALUE"""),"Submitted")</f>
        <v>Submitted</v>
      </c>
      <c r="E116" s="63">
        <f>IFERROR(__xludf.DUMMYFUNCTION("""COMPUTED_VALUE"""),46208.82777777778)</f>
        <v>46208.82778</v>
      </c>
      <c r="F116" s="61" t="str">
        <f>IFERROR(__xludf.DUMMYFUNCTION("""COMPUTED_VALUE"""),"ABOUOBAIDA ELBOROLOSY")</f>
        <v>ABOUOBAIDA ELBOROLOSY</v>
      </c>
      <c r="G116" s="61" t="str">
        <f>IFERROR(__xludf.DUMMYFUNCTION("""COMPUTED_VALUE"""),"ABOUOBAIDA Zaher Mahmoud Mohamed Elborolosy")</f>
        <v>ABOUOBAIDA Zaher Mahmoud Mohamed Elborolosy</v>
      </c>
      <c r="H116" s="61" t="str">
        <f>IFERROR(__xludf.DUMMYFUNCTION("""COMPUTED_VALUE"""),"obidazaher4@gmail.com")</f>
        <v>obidazaher4@gmail.com</v>
      </c>
      <c r="I116" s="61" t="str">
        <f>IFERROR(__xludf.DUMMYFUNCTION("""COMPUTED_VALUE"""),"fluffyhomerw@gmail.com")</f>
        <v>fluffyhomerw@gmail.com</v>
      </c>
      <c r="J116" s="61" t="str">
        <f>IFERROR(__xludf.DUMMYFUNCTION("""COMPUTED_VALUE"""),"MUHIMA KIGALI NYARUGENGE, Gasabo, KIGALI, Rwanda")</f>
        <v>MUHIMA KIGALI NYARUGENGE, Gasabo, KIGALI, Rwanda</v>
      </c>
      <c r="K116" s="61" t="str">
        <f>IFERROR(__xludf.DUMMYFUNCTION("""COMPUTED_VALUE"""),"Egypt")</f>
        <v>Egypt</v>
      </c>
      <c r="L116" s="64" t="str">
        <f>IFERROR(__xludf.DUMMYFUNCTION("""COMPUTED_VALUE"""),"+250784058750")</f>
        <v>+250784058750</v>
      </c>
      <c r="M116" s="64">
        <f>IFERROR(__xludf.DUMMYFUNCTION("""COMPUTED_VALUE"""),34541.0)</f>
        <v>34541</v>
      </c>
      <c r="N116" s="61" t="str">
        <f>IFERROR(__xludf.DUMMYFUNCTION("""COMPUTED_VALUE"""),"A42493082")</f>
        <v>A42493082</v>
      </c>
      <c r="O116" s="61" t="str">
        <f>IFERROR(__xludf.DUMMYFUNCTION("""COMPUTED_VALUE"""),"+250794243485")</f>
        <v>+250794243485</v>
      </c>
      <c r="P116" s="61"/>
      <c r="Q116" s="61"/>
      <c r="R116" s="61" t="str">
        <f>IFERROR(__xludf.DUMMYFUNCTION("""COMPUTED_VALUE"""),"Abouobaida Zaher")</f>
        <v>Abouobaida Zaher</v>
      </c>
      <c r="S116" s="61" t="str">
        <f>IFERROR(__xludf.DUMMYFUNCTION("""COMPUTED_VALUE"""),"Scanned Document 2.pdf")</f>
        <v>Scanned Document 2.pdf</v>
      </c>
      <c r="T116" s="61" t="str">
        <f>IFERROR(__xludf.DUMMYFUNCTION("""COMPUTED_VALUE"""),"IMG_4806.jpeg")</f>
        <v>IMG_4806.jpeg</v>
      </c>
      <c r="U116" s="61" t="str">
        <f>IFERROR(__xludf.DUMMYFUNCTION("""COMPUTED_VALUE"""),"Master")</f>
        <v>Master</v>
      </c>
      <c r="V116" s="61" t="str">
        <f>IFERROR(__xludf.DUMMYFUNCTION("""COMPUTED_VALUE"""),"Master of business administration and Bachelor of Business Administration")</f>
        <v>Master of business administration and Bachelor of Business Administration</v>
      </c>
      <c r="W116" s="61" t="str">
        <f>IFERROR(__xludf.DUMMYFUNCTION("""COMPUTED_VALUE"""),"Business Administration")</f>
        <v>Business Administration</v>
      </c>
      <c r="X116" s="61" t="str">
        <f>IFERROR(__xludf.DUMMYFUNCTION("""COMPUTED_VALUE"""),"Kigali Independent University UL K")</f>
        <v>Kigali Independent University UL K</v>
      </c>
      <c r="Y116" s="61" t="str">
        <f>IFERROR(__xludf.DUMMYFUNCTION("""COMPUTED_VALUE"""),"Yes")</f>
        <v>Yes</v>
      </c>
      <c r="Z116" s="61" t="str">
        <f>IFERROR(__xludf.DUMMYFUNCTION("""COMPUTED_VALUE"""),"Egypt &amp; Rwanda")</f>
        <v>Egypt &amp; Rwanda</v>
      </c>
      <c r="AA116" s="61" t="str">
        <f>IFERROR(__xludf.DUMMYFUNCTION("""COMPUTED_VALUE"""),"Yes")</f>
        <v>Yes</v>
      </c>
      <c r="AB116" s="61" t="str">
        <f>IFERROR(__xludf.DUMMYFUNCTION("""COMPUTED_VALUE"""),"Rwanda")</f>
        <v>Rwanda</v>
      </c>
      <c r="AC116" s="61" t="str">
        <f>IFERROR(__xludf.DUMMYFUNCTION("""COMPUTED_VALUE"""),"Yes")</f>
        <v>Yes</v>
      </c>
      <c r="AD116" s="61" t="str">
        <f>IFERROR(__xludf.DUMMYFUNCTION("""COMPUTED_VALUE"""),"No")</f>
        <v>No</v>
      </c>
      <c r="AE116" s="61"/>
      <c r="AF116" s="61"/>
      <c r="AG116" s="61" t="str">
        <f>IFERROR(__xludf.DUMMYFUNCTION("""COMPUTED_VALUE"""),"8 years")</f>
        <v>8 years</v>
      </c>
      <c r="AH116" s="61" t="str">
        <f>IFERROR(__xludf.DUMMYFUNCTION("""COMPUTED_VALUE"""),"Yes")</f>
        <v>Yes</v>
      </c>
      <c r="AI116" s="61" t="str">
        <f>IFERROR(__xludf.DUMMYFUNCTION("""COMPUTED_VALUE"""),"Founder &amp; CEO of FLUFFY HOME LTD, MAISON DU TAPIS LTD and Dr Tapis RW.")</f>
        <v>Founder &amp; CEO of FLUFFY HOME LTD, MAISON DU TAPIS LTD and Dr Tapis RW.</v>
      </c>
      <c r="AJ116" s="61" t="str">
        <f>IFERROR(__xludf.DUMMYFUNCTION("""COMPUTED_VALUE"""),"No")</f>
        <v>No</v>
      </c>
      <c r="AK116" s="61"/>
      <c r="AL116" s="61" t="str">
        <f>IFERROR(__xludf.DUMMYFUNCTION("""COMPUTED_VALUE"""),"Entrepreneurship, Business Leadership, Strategic Planning, Business Development, Data-Driven Marketing, Customer Acquisition, Revenue Growth, Partnership Development, Team Building, Communication, Public Speaking.")</f>
        <v>Entrepreneurship, Business Leadership, Strategic Planning, Business Development, Data-Driven Marketing, Customer Acquisition, Revenue Growth, Partnership Development, Team Building, Communication, Public Speaking.</v>
      </c>
      <c r="AM116" s="61" t="str">
        <f>IFERROR(__xludf.DUMMYFUNCTION("""COMPUTED_VALUE"""),"CV OBIDA ZAHER.pdf")</f>
        <v>CV OBIDA ZAHER.pdf</v>
      </c>
      <c r="AN116" s="61" t="str">
        <f>IFERROR(__xludf.DUMMYFUNCTION("""COMPUTED_VALUE"""),"Yes. I believe real change begins with creating opportunities for others. Instead of waiting for change, I focused on building businesses that create jobs, develop local talent, and contribute to economic growth in Rwanda. Through my companies, I have cre"&amp;"ated permanent employment for local citizens and supported the “Made in Rwanda” vision. Beyond business, I participate in community service through Umuganda, contribute to health insurance for vulnerable families, and support social initiatives such as br"&amp;"east cancer awareness. I believe entrepreneurship is one of the most practical ways to improve lives and create sustainable impact within communities.")</f>
        <v>Yes. I believe real change begins with creating opportunities for others. Instead of waiting for change, I focused on building businesses that create jobs, develop local talent, and contribute to economic growth in Rwanda. Through my companies, I have created permanent employment for local citizens and supported the “Made in Rwanda” vision. Beyond business, I participate in community service through Umuganda, contribute to health insurance for vulnerable families, and support social initiatives such as breast cancer awareness. I believe entrepreneurship is one of the most practical ways to improve lives and create sustainable impact within communities.</v>
      </c>
      <c r="AO116" s="61" t="str">
        <f>IFERROR(__xludf.DUMMYFUNCTION("""COMPUTED_VALUE"""),"I believe no single country can be considered the most diplomatically significant because today’s global challenges require cooperation rather than competition. However, I admire countries that use diplomacy to build peace, encourage trade, and promote in"&amp;"ternational development. Rwanda is a remarkable example of how effective diplomacy can transform a nation’s global image through reconciliation, economic partnerships, and regional cooperation. Countries that invest in dialogue, mutual respect, and sustai"&amp;"nable development create stronger international relationships. In my opinion, successful diplomacy is measured not only by political influence but also by the ability to build trust and create opportunities for people.")</f>
        <v>I believe no single country can be considered the most diplomatically significant because today’s global challenges require cooperation rather than competition. However, I admire countries that use diplomacy to build peace, encourage trade, and promote international development. Rwanda is a remarkable example of how effective diplomacy can transform a nation’s global image through reconciliation, economic partnerships, and regional cooperation. Countries that invest in dialogue, mutual respect, and sustainable development create stronger international relationships. In my opinion, successful diplomacy is measured not only by political influence but also by the ability to build trust and create opportunities for people.</v>
      </c>
      <c r="AP116" s="61" t="str">
        <f>IFERROR(__xludf.DUMMYFUNCTION("""COMPUTED_VALUE"""),"Young people are among the most influential actors in modern diplomacy because they communicate beyond borders through entrepreneurship, education, technology, and social media. Public diplomacy is no longer limited to governments; individuals can shape h"&amp;"ow countries are perceived by building positive relationships and promoting cooperation.
As an Egyptian entrepreneur living and investing in Rwanda, I experience public diplomacy every day. Through my businesses, I work with people from different nationa"&amp;"lities, cultures, and institutions. I believe every business interaction is an opportunity to strengthen mutual understanding and trust. By creating employment, respecting local culture, promoting ethical business practices, and supporting community initi"&amp;"atives, I aim to build bridges between people rather than simply conducting business.
I also believe that young entrepreneurs can represent their countries through integrity, innovation, and collaboration. Public diplomacy is about actions more than word"&amp;"s. When people experience fairness, professionalism, and respect, they develop a positive impression not only of an individual but also of the country they represent.
For me, diplomacy means creating partnerships that benefit everyone and contribute to p"&amp;"eace, economic development, and stronger international cooperation.")</f>
        <v>Young people are among the most influential actors in modern diplomacy because they communicate beyond borders through entrepreneurship, education, technology, and social media. Public diplomacy is no longer limited to governments; individuals can shape how countries are perceived by building positive relationships and promoting cooperation.
As an Egyptian entrepreneur living and investing in Rwanda, I experience public diplomacy every day. Through my businesses, I work with people from different nationalities, cultures, and institutions. I believe every business interaction is an opportunity to strengthen mutual understanding and trust. By creating employment, respecting local culture, promoting ethical business practices, and supporting community initiatives, I aim to build bridges between people rather than simply conducting business.
I also believe that young entrepreneurs can represent their countries through integrity, innovation, and collaboration. Public diplomacy is about actions more than words. When people experience fairness, professionalism, and respect, they develop a positive impression not only of an individual but also of the country they represent.
For me, diplomacy means creating partnerships that benefit everyone and contribute to peace, economic development, and stronger international cooperation.</v>
      </c>
      <c r="AQ116" s="61" t="str">
        <f>IFERROR(__xludf.DUMMYFUNCTION("""COMPUTED_VALUE"""),"Passion is the inner motivation that keeps a person moving even during difficult times. It gives purpose to hard work and transforms challenges into opportunities for growth. My passion is building businesses that create value for society while contributi"&amp;"ng to economic development.
Starting companies in a new country required resilience, continuous learning, and patience. There were many obstacles, but passion helped me remain focused on long-term goals rather than temporary setbacks. It also motivates m"&amp;"e to keep improving my leadership, learning new skills, and supporting the people who work with me.
I believe passion alone is not enough; it must be supported by discipline, responsibility, and continuous action. Together, these qualities help transform"&amp;" ideas into sustainable achievements that positively impact both individuals and communities.")</f>
        <v>Passion is the inner motivation that keeps a person moving even during difficult times. It gives purpose to hard work and transforms challenges into opportunities for growth. My passion is building businesses that create value for society while contributing to economic development.
Starting companies in a new country required resilience, continuous learning, and patience. There were many obstacles, but passion helped me remain focused on long-term goals rather than temporary setbacks. It also motivates me to keep improving my leadership, learning new skills, and supporting the people who work with me.
I believe passion alone is not enough; it must be supported by discipline, responsibility, and continuous action. Together, these qualities help transform ideas into sustainable achievements that positively impact both individuals and communities.</v>
      </c>
      <c r="AR116" s="61" t="str">
        <f>IFERROR(__xludf.DUMMYFUNCTION("""COMPUTED_VALUE"""),"Yes, I consider myself a creative person because I enjoy solving problems, building new ideas, and finding innovative ways to connect with people. Creativity is not limited to art; it is also about developing practical solutions that improve lives and str"&amp;"engthen relationships.
If given the opportunity, I would use creativity as a public diplomacy strategy by combining entrepreneurship, digital communication, and cultural exchange. I believe businesses can become platforms for promoting understanding betw"&amp;"een different communities. Through storytelling, social media campaigns, community projects, and cross-cultural partnerships, it is possible to highlight shared values rather than differences.
My experience in establishing businesses in Rwanda has shown "&amp;"me that trust is built through consistent actions, transparency, and respect for local communities. I would encourage young people from different countries to collaborate on business, education, and volunteer initiatives that create long-term relationship"&amp;"s.
An effective public diplomacy strategy should focus on people first. When communities work together, exchange knowledge, and create opportunities, diplomacy becomes more meaningful and sustainable. I believe creativity allows us to communicate across "&amp;"cultures and transform cooperation into lasting partnerships that benefit everyone.")</f>
        <v>Yes, I consider myself a creative person because I enjoy solving problems, building new ideas, and finding innovative ways to connect with people. Creativity is not limited to art; it is also about developing practical solutions that improve lives and strengthen relationships.
If given the opportunity, I would use creativity as a public diplomacy strategy by combining entrepreneurship, digital communication, and cultural exchange. I believe businesses can become platforms for promoting understanding between different communities. Through storytelling, social media campaigns, community projects, and cross-cultural partnerships, it is possible to highlight shared values rather than differences.
My experience in establishing businesses in Rwanda has shown me that trust is built through consistent actions, transparency, and respect for local communities. I would encourage young people from different countries to collaborate on business, education, and volunteer initiatives that create long-term relationships.
An effective public diplomacy strategy should focus on people first. When communities work together, exchange knowledge, and create opportunities, diplomacy becomes more meaningful and sustainable. I believe creativity allows us to communicate across cultures and transform cooperation into lasting partnerships that benefit everyone.</v>
      </c>
      <c r="AS116" s="61" t="str">
        <f>IFERROR(__xludf.DUMMYFUNCTION("""COMPUTED_VALUE"""),"Yes")</f>
        <v>Yes</v>
      </c>
      <c r="AT116" s="61" t="str">
        <f>IFERROR(__xludf.DUMMYFUNCTION("""COMPUTED_VALUE"""),"Yes")</f>
        <v>Yes</v>
      </c>
      <c r="AU116" s="61" t="str">
        <f>IFERROR(__xludf.DUMMYFUNCTION("""COMPUTED_VALUE"""),"Global Politics, Diplomacy &amp; Identities")</f>
        <v>Global Politics, Diplomacy &amp; Identities</v>
      </c>
      <c r="AV116" s="61" t="str">
        <f>IFERROR(__xludf.DUMMYFUNCTION("""COMPUTED_VALUE"""),"Google search")</f>
        <v>Google search</v>
      </c>
      <c r="AW116" s="61" t="str">
        <f>IFERROR(__xludf.DUMMYFUNCTION("""COMPUTED_VALUE"""),"Public Diplomacy in the 21st Century, Global Politics, Diplomacy &amp; Identities, and Economic Diplomacy.")</f>
        <v>Public Diplomacy in the 21st Century, Global Politics, Diplomacy &amp; Identities, and Economic Diplomacy.</v>
      </c>
      <c r="AX116" s="66" t="str">
        <f>IFERROR(__xludf.DUMMYFUNCTION("""COMPUTED_VALUE"""),"Yes")</f>
        <v>Yes</v>
      </c>
      <c r="AY116" s="66">
        <f>IFERROR(__xludf.DUMMYFUNCTION("""COMPUTED_VALUE"""),15.99)</f>
        <v>15.99</v>
      </c>
      <c r="AZ116" s="61"/>
      <c r="BA116" s="61"/>
      <c r="BB116" s="61"/>
      <c r="BC116" s="61"/>
      <c r="BD116" s="61"/>
      <c r="BE116" s="61"/>
      <c r="BF116" s="61"/>
      <c r="BG116" s="61"/>
      <c r="BH116" s="61"/>
      <c r="BI116" s="61"/>
      <c r="BJ116" s="61"/>
      <c r="BK116" s="61"/>
      <c r="BL116" s="61"/>
      <c r="BM116" s="61"/>
      <c r="BN116" s="61"/>
      <c r="BO116" s="61"/>
      <c r="BP116" s="61"/>
      <c r="BQ116" s="61"/>
      <c r="BR116" s="61"/>
    </row>
    <row r="117" ht="15.75" customHeight="1">
      <c r="A117" s="61" t="str">
        <f>IFERROR(__xludf.DUMMYFUNCTION("""COMPUTED_VALUE"""),"Self")</f>
        <v>Self</v>
      </c>
      <c r="B117" s="62">
        <f>IFERROR(__xludf.DUMMYFUNCTION("""COMPUTED_VALUE"""),138.0)</f>
        <v>138</v>
      </c>
      <c r="C117" s="61" t="str">
        <f>IFERROR(__xludf.DUMMYFUNCTION("""COMPUTED_VALUE"""),"Self")</f>
        <v>Self</v>
      </c>
      <c r="D117" s="63" t="str">
        <f>IFERROR(__xludf.DUMMYFUNCTION("""COMPUTED_VALUE"""),"Submitted")</f>
        <v>Submitted</v>
      </c>
      <c r="E117" s="63">
        <f>IFERROR(__xludf.DUMMYFUNCTION("""COMPUTED_VALUE"""),46208.83333333334)</f>
        <v>46208.83333</v>
      </c>
      <c r="F117" s="61" t="str">
        <f>IFERROR(__xludf.DUMMYFUNCTION("""COMPUTED_VALUE"""),"FATIMA ZOHRA AHLALOUM")</f>
        <v>FATIMA ZOHRA AHLALOUM</v>
      </c>
      <c r="G117" s="61" t="str">
        <f>IFERROR(__xludf.DUMMYFUNCTION("""COMPUTED_VALUE"""),"FATIMA ZOHRA AHLALOUM")</f>
        <v>FATIMA ZOHRA AHLALOUM</v>
      </c>
      <c r="H117" s="61" t="str">
        <f>IFERROR(__xludf.DUMMYFUNCTION("""COMPUTED_VALUE"""),"fatimazahraeahlaloum@gmail.com")</f>
        <v>fatimazahraeahlaloum@gmail.com</v>
      </c>
      <c r="I117" s="61" t="str">
        <f>IFERROR(__xludf.DUMMYFUNCTION("""COMPUTED_VALUE"""),"mahmoudnoureddinaslan@gmail.com")</f>
        <v>mahmoudnoureddinaslan@gmail.com</v>
      </c>
      <c r="J117" s="61" t="str">
        <f>IFERROR(__xludf.DUMMYFUNCTION("""COMPUTED_VALUE"""),"Al-Awama Al-Sharqiya neighborhood, Tangier, Morocco, Tangier, Morocco")</f>
        <v>Al-Awama Al-Sharqiya neighborhood, Tangier, Morocco, Tangier, Morocco</v>
      </c>
      <c r="K117" s="61" t="str">
        <f>IFERROR(__xludf.DUMMYFUNCTION("""COMPUTED_VALUE"""),"Morocco")</f>
        <v>Morocco</v>
      </c>
      <c r="L117" s="64" t="str">
        <f>IFERROR(__xludf.DUMMYFUNCTION("""COMPUTED_VALUE"""),"‭+212 7 13 54 45 90‬")</f>
        <v>‭+212 7 13 54 45 90‬</v>
      </c>
      <c r="M117" s="64">
        <f>IFERROR(__xludf.DUMMYFUNCTION("""COMPUTED_VALUE"""),34649.0)</f>
        <v>34649</v>
      </c>
      <c r="N117" s="61" t="str">
        <f>IFERROR(__xludf.DUMMYFUNCTION("""COMPUTED_VALUE"""),"UF1016050")</f>
        <v>UF1016050</v>
      </c>
      <c r="O117" s="61" t="str">
        <f>IFERROR(__xludf.DUMMYFUNCTION("""COMPUTED_VALUE"""),"+905550056522")</f>
        <v>+905550056522</v>
      </c>
      <c r="P117" s="61"/>
      <c r="Q117" s="61"/>
      <c r="R117" s="61"/>
      <c r="S117" s="61" t="str">
        <f>IFERROR(__xludf.DUMMYFUNCTION("""COMPUTED_VALUE"""),"FATIMA ZOHRA PASSPORT_1.jpeg")</f>
        <v>FATIMA ZOHRA PASSPORT_1.jpeg</v>
      </c>
      <c r="T117" s="61" t="str">
        <f>IFERROR(__xludf.DUMMYFUNCTION("""COMPUTED_VALUE"""),"Photo z_1.jpeg")</f>
        <v>Photo z_1.jpeg</v>
      </c>
      <c r="U117" s="61" t="str">
        <f>IFERROR(__xludf.DUMMYFUNCTION("""COMPUTED_VALUE"""),"Nursing")</f>
        <v>Nursing</v>
      </c>
      <c r="V117" s="61" t="str">
        <f>IFERROR(__xludf.DUMMYFUNCTION("""COMPUTED_VALUE"""),"Bachelor")</f>
        <v>Bachelor</v>
      </c>
      <c r="W117" s="61" t="str">
        <f>IFERROR(__xludf.DUMMYFUNCTION("""COMPUTED_VALUE"""),"Bachelor of Science in Nursing, and Higher Diploma in Nursing")</f>
        <v>Bachelor of Science in Nursing, and Higher Diploma in Nursing</v>
      </c>
      <c r="X117" s="61" t="str">
        <f>IFERROR(__xludf.DUMMYFUNCTION("""COMPUTED_VALUE"""),"Higher Institute of Nursing Professions and Health Techniques (ISPITS), Tangier")</f>
        <v>Higher Institute of Nursing Professions and Health Techniques (ISPITS), Tangier</v>
      </c>
      <c r="Y117" s="61" t="str">
        <f>IFERROR(__xludf.DUMMYFUNCTION("""COMPUTED_VALUE"""),"Yes")</f>
        <v>Yes</v>
      </c>
      <c r="Z117" s="61" t="str">
        <f>IFERROR(__xludf.DUMMYFUNCTION("""COMPUTED_VALUE"""),"Morocco")</f>
        <v>Morocco</v>
      </c>
      <c r="AA117" s="61" t="str">
        <f>IFERROR(__xludf.DUMMYFUNCTION("""COMPUTED_VALUE"""),"No")</f>
        <v>No</v>
      </c>
      <c r="AB117" s="61"/>
      <c r="AC117" s="61" t="str">
        <f>IFERROR(__xludf.DUMMYFUNCTION("""COMPUTED_VALUE"""),"Yes")</f>
        <v>Yes</v>
      </c>
      <c r="AD117" s="61" t="str">
        <f>IFERROR(__xludf.DUMMYFUNCTION("""COMPUTED_VALUE"""),"Lamsat Khair Association for Charitable Works, Tangier")</f>
        <v>Lamsat Khair Association for Charitable Works, Tangier</v>
      </c>
      <c r="AE117" s="61"/>
      <c r="AF117" s="61" t="str">
        <f>IFERROR(__xludf.DUMMYFUNCTION("""COMPUTED_VALUE"""),"Vice-President")</f>
        <v>Vice-President</v>
      </c>
      <c r="AG117" s="61" t="str">
        <f>IFERROR(__xludf.DUMMYFUNCTION("""COMPUTED_VALUE"""),"5")</f>
        <v>5</v>
      </c>
      <c r="AH117" s="61" t="str">
        <f>IFERROR(__xludf.DUMMYFUNCTION("""COMPUTED_VALUE"""),"No")</f>
        <v>No</v>
      </c>
      <c r="AI117" s="61"/>
      <c r="AJ117" s="61" t="str">
        <f>IFERROR(__xludf.DUMMYFUNCTION("""COMPUTED_VALUE"""),"Yes, Nosra Tangier Association")</f>
        <v>Yes, Nosra Tangier Association</v>
      </c>
      <c r="AK117" s="61" t="str">
        <f>IFERROR(__xludf.DUMMYFUNCTION("""COMPUTED_VALUE"""),"Nosra Tangier Association
• Take part in all solidarity actions, awareness campaigns, and humanitarian stands organized by the association.
• Supervise the drafting, printing, and official stamping of association notices and certificates.
• Provide first-"&amp;"aid support during association-organized camps and outdoor activities.")</f>
        <v>Nosra Tangier Association
• Take part in all solidarity actions, awareness campaigns, and humanitarian stands organized by the association.
• Supervise the drafting, printing, and official stamping of association notices and certificates.
• Provide first-aid support during association-organized camps and outdoor activities.</v>
      </c>
      <c r="AL117" s="61" t="str">
        <f>IFERROR(__xludf.DUMMYFUNCTION("""COMPUTED_VALUE"""),"• Surgical &amp; pre/post-operative patient care • Patient monitoring &amp; vital signs assessment • First aid &amp; emergency response • Event &amp; volunteer team coordination • Administrative documentation &amp; recordkeeping • Teamwork &amp; multidisciplinary collaboration")</f>
        <v>• Surgical &amp; pre/post-operative patient care • Patient monitoring &amp; vital signs assessment • First aid &amp; emergency response • Event &amp; volunteer team coordination • Administrative documentation &amp; recordkeeping • Teamwork &amp; multidisciplinary collaboration</v>
      </c>
      <c r="AM117" s="61" t="str">
        <f>IFERROR(__xludf.DUMMYFUNCTION("""COMPUTED_VALUE"""),"IMG_0988.jpeg")</f>
        <v>IMG_0988.jpeg</v>
      </c>
      <c r="AN117" s="61" t="str">
        <f>IFERROR(__xludf.DUMMYFUNCTION("""COMPUTED_VALUE"""),"Yes. As a nurse, I witness daily how small acts of care can restore dignity to people at their most vulnerable. I’ve taken this belief beyond the hospital by volunteering in community health initiatives, supporting underserved groups, and building network"&amp;"s across social circles to connect people with resources they need. I believe change doesn’t require grand gestures — it requires consistent, compassionate action. Every patient I care for and every volunteer project I join is a deliberate choice to make "&amp;"my community stronger. I see this conference as a natural extension of that mission, on a global scale.")</f>
        <v>Yes. As a nurse, I witness daily how small acts of care can restore dignity to people at their most vulnerable. I’ve taken this belief beyond the hospital by volunteering in community health initiatives, supporting underserved groups, and building networks across social circles to connect people with resources they need. I believe change doesn’t require grand gestures — it requires consistent, compassionate action. Every patient I care for and every volunteer project I join is a deliberate choice to make my community stronger. I see this conference as a natural extension of that mission, on a global scale.</v>
      </c>
      <c r="AO117" s="61" t="str">
        <f>IFERROR(__xludf.DUMMYFUNCTION("""COMPUTED_VALUE"""),"I believe Qatar holds significant diplomatic weight today. Despite its small size, it has positioned itself as a key mediator in regional and international conflicts, hosting dialogues between parties that often can’t speak directly to one another. Its in"&amp;"vestment in soft power — through education, media, and cultural diplomacy — shows how a nation can shape global conversations without relying solely on military or economic dominance. This model demonstrates that diplomatic significance isn’t about size o"&amp;"r power alone, but about trust, neutrality, and the ability to bring people to the table.")</f>
        <v>I believe Qatar holds significant diplomatic weight today. Despite its small size, it has positioned itself as a key mediator in regional and international conflicts, hosting dialogues between parties that often can’t speak directly to one another. Its investment in soft power — through education, media, and cultural diplomacy — shows how a nation can shape global conversations without relying solely on military or economic dominance. This model demonstrates that diplomatic significance isn’t about size or power alone, but about trust, neutrality, and the ability to bring people to the table.</v>
      </c>
      <c r="AP117" s="61" t="str">
        <f>IFERROR(__xludf.DUMMYFUNCTION("""COMPUTED_VALUE"""),"Youth bring fresh perspectives, digital fluency, and a willingness to challenge outdated narratives — all essential to modern diplomacy. We are often the bridge between traditional institutions and grassroots communities, translating complex policies into"&amp;" relatable, human stories. As a nurse and volunteer, I already practice a form of public diplomacy daily: building trust with people from different backgrounds, listening without judgment, and communicating care across language and cultural barriers. Publ"&amp;"ic diplomacy isn’t confined to formal negotiations — it lives in every interaction where understanding replaces assumption. I relate to it deeply because my work requires the same skills diplomacy demands: empathy, patience, and clear communication. I see"&amp;" myself as an informal ambassador in my own community, and I want to develop these instincts into a more structured, strategic capacity through this program")</f>
        <v>Youth bring fresh perspectives, digital fluency, and a willingness to challenge outdated narratives — all essential to modern diplomacy. We are often the bridge between traditional institutions and grassroots communities, translating complex policies into relatable, human stories. As a nurse and volunteer, I already practice a form of public diplomacy daily: building trust with people from different backgrounds, listening without judgment, and communicating care across language and cultural barriers. Public diplomacy isn’t confined to formal negotiations — it lives in every interaction where understanding replaces assumption. I relate to it deeply because my work requires the same skills diplomacy demands: empathy, patience, and clear communication. I see myself as an informal ambassador in my own community, and I want to develop these instincts into a more structured, strategic capacity through this program</v>
      </c>
      <c r="AQ117" s="61" t="str">
        <f>IFERROR(__xludf.DUMMYFUNCTION("""COMPUTED_VALUE"""),"Passion is the internal drive that keeps you moving forward even when the work is difficult or unrecognized. For me, it’s the reason I chose nursing — not just as a profession, but as a calling to serve people during their hardest moments. Passion helps m"&amp;"e stay consistent; it’s what pushes me to volunteer after long shifts or advocate for causes I believe in, even without immediate reward. It transforms routine tasks into meaningful contributions. When I’m passionate about something, I don’t just complete"&amp;" it — I invest in it, refine it, and stay committed until it creates real impact. This is the same energy I intend to bring to youth diplomacy work.")</f>
        <v>Passion is the internal drive that keeps you moving forward even when the work is difficult or unrecognized. For me, it’s the reason I chose nursing — not just as a profession, but as a calling to serve people during their hardest moments. Passion helps me stay consistent; it’s what pushes me to volunteer after long shifts or advocate for causes I believe in, even without immediate reward. It transforms routine tasks into meaningful contributions. When I’m passionate about something, I don’t just complete it — I invest in it, refine it, and stay committed until it creates real impact. This is the same energy I intend to bring to youth diplomacy work.</v>
      </c>
      <c r="AR117" s="61" t="str">
        <f>IFERROR(__xludf.DUMMYFUNCTION("""COMPUTED_VALUE"""),"Yes, I consider myself creative — not in a traditional artistic sense, but in how I solve problems and connect with people. In nursing, creativity means finding new ways to comfort a frightened patient or explain a diagnosis simply. In volunteering, it me"&amp;"ans designing initiatives that resonate with different communities. I can channel this creativity into public diplomacy by developing culturally sensitive communication strategies — using storytelling, relatable language, and grassroots engagement rather "&amp;"than rigid formal messaging. Effective public diplomacy needs to feel human, not scripted. My creativity allows me to tailor messages to different audiences, build genuine relationships instead of one-way broadcasts, and find unconventional platforms — so"&amp;"cial circles, community events, informal networks — to spread ideas. I believe diplomacy succeeds when it feels personal, and creativity is what makes that possible.")</f>
        <v>Yes, I consider myself creative — not in a traditional artistic sense, but in how I solve problems and connect with people. In nursing, creativity means finding new ways to comfort a frightened patient or explain a diagnosis simply. In volunteering, it means designing initiatives that resonate with different communities. I can channel this creativity into public diplomacy by developing culturally sensitive communication strategies — using storytelling, relatable language, and grassroots engagement rather than rigid formal messaging. Effective public diplomacy needs to feel human, not scripted. My creativity allows me to tailor messages to different audiences, build genuine relationships instead of one-way broadcasts, and find unconventional platforms — social circles, community events, informal networks — to spread ideas. I believe diplomacy succeeds when it feels personal, and creativity is what makes that possible.</v>
      </c>
      <c r="AS117" s="61" t="str">
        <f>IFERROR(__xludf.DUMMYFUNCTION("""COMPUTED_VALUE"""),"Yes")</f>
        <v>Yes</v>
      </c>
      <c r="AT117" s="61" t="str">
        <f>IFERROR(__xludf.DUMMYFUNCTION("""COMPUTED_VALUE"""),"Yes")</f>
        <v>Yes</v>
      </c>
      <c r="AU117" s="61" t="str">
        <f>IFERROR(__xludf.DUMMYFUNCTION("""COMPUTED_VALUE"""),"International Public Service Relations")</f>
        <v>International Public Service Relations</v>
      </c>
      <c r="AV117" s="61" t="str">
        <f>IFERROR(__xludf.DUMMYFUNCTION("""COMPUTED_VALUE"""),"From my husband")</f>
        <v>From my husband</v>
      </c>
      <c r="AW117" s="61" t="str">
        <f>IFERROR(__xludf.DUMMYFUNCTION("""COMPUTED_VALUE"""),"Public relations and youth development")</f>
        <v>Public relations and youth development</v>
      </c>
      <c r="AX117" s="66" t="str">
        <f>IFERROR(__xludf.DUMMYFUNCTION("""COMPUTED_VALUE"""),"Yes")</f>
        <v>Yes</v>
      </c>
      <c r="AY117" s="66">
        <f>IFERROR(__xludf.DUMMYFUNCTION("""COMPUTED_VALUE"""),15.99)</f>
        <v>15.99</v>
      </c>
      <c r="AZ117" s="61"/>
      <c r="BA117" s="61"/>
      <c r="BB117" s="61"/>
      <c r="BC117" s="61"/>
      <c r="BD117" s="61"/>
      <c r="BE117" s="61"/>
      <c r="BF117" s="61"/>
      <c r="BG117" s="61"/>
      <c r="BH117" s="61"/>
      <c r="BI117" s="61"/>
      <c r="BJ117" s="61"/>
      <c r="BK117" s="61"/>
      <c r="BL117" s="61"/>
      <c r="BM117" s="61"/>
      <c r="BN117" s="61"/>
      <c r="BO117" s="61"/>
      <c r="BP117" s="61"/>
      <c r="BQ117" s="61"/>
      <c r="BR117" s="61"/>
    </row>
    <row r="118" ht="15.75" customHeight="1">
      <c r="A118" s="61" t="str">
        <f>IFERROR(__xludf.DUMMYFUNCTION("""COMPUTED_VALUE"""),"Partial")</f>
        <v>Partial</v>
      </c>
      <c r="B118" s="62">
        <f>IFERROR(__xludf.DUMMYFUNCTION("""COMPUTED_VALUE"""),139.0)</f>
        <v>139</v>
      </c>
      <c r="C118" s="61" t="str">
        <f>IFERROR(__xludf.DUMMYFUNCTION("""COMPUTED_VALUE"""),"Partial")</f>
        <v>Partial</v>
      </c>
      <c r="D118" s="63" t="str">
        <f>IFERROR(__xludf.DUMMYFUNCTION("""COMPUTED_VALUE"""),"Submitted")</f>
        <v>Submitted</v>
      </c>
      <c r="E118" s="63">
        <f>IFERROR(__xludf.DUMMYFUNCTION("""COMPUTED_VALUE"""),46208.83958333333)</f>
        <v>46208.83958</v>
      </c>
      <c r="F118" s="61" t="str">
        <f>IFERROR(__xludf.DUMMYFUNCTION("""COMPUTED_VALUE"""),"Veranika Anisimava")</f>
        <v>Veranika Anisimava</v>
      </c>
      <c r="G118" s="61" t="str">
        <f>IFERROR(__xludf.DUMMYFUNCTION("""COMPUTED_VALUE"""),"Veranika Anisimava")</f>
        <v>Veranika Anisimava</v>
      </c>
      <c r="H118" s="61" t="str">
        <f>IFERROR(__xludf.DUMMYFUNCTION("""COMPUTED_VALUE"""),"veronika.aniss@gmail.com")</f>
        <v>veronika.aniss@gmail.com</v>
      </c>
      <c r="I118" s="61" t="str">
        <f>IFERROR(__xludf.DUMMYFUNCTION("""COMPUTED_VALUE"""),"Anisimova.Veronika@savushkin.com")</f>
        <v>Anisimova.Veronika@savushkin.com</v>
      </c>
      <c r="J118" s="61" t="str">
        <f>IFERROR(__xludf.DUMMYFUNCTION("""COMPUTED_VALUE"""),"Brest, Belarus")</f>
        <v>Brest, Belarus</v>
      </c>
      <c r="K118" s="61" t="str">
        <f>IFERROR(__xludf.DUMMYFUNCTION("""COMPUTED_VALUE"""),"Belarus")</f>
        <v>Belarus</v>
      </c>
      <c r="L118" s="64" t="str">
        <f>IFERROR(__xludf.DUMMYFUNCTION("""COMPUTED_VALUE"""),"+375333550835")</f>
        <v>+375333550835</v>
      </c>
      <c r="M118" s="64">
        <f>IFERROR(__xludf.DUMMYFUNCTION("""COMPUTED_VALUE"""),33256.0)</f>
        <v>33256</v>
      </c>
      <c r="N118" s="61" t="str">
        <f>IFERROR(__xludf.DUMMYFUNCTION("""COMPUTED_VALUE"""),"AB4142236")</f>
        <v>AB4142236</v>
      </c>
      <c r="O118" s="61" t="str">
        <f>IFERROR(__xludf.DUMMYFUNCTION("""COMPUTED_VALUE"""),"+375333550835")</f>
        <v>+375333550835</v>
      </c>
      <c r="P118" s="61" t="str">
        <f>IFERROR(__xludf.DUMMYFUNCTION("""COMPUTED_VALUE"""),"Veranika Anisimava")</f>
        <v>Veranika Anisimava</v>
      </c>
      <c r="Q118" s="61" t="str">
        <f>IFERROR(__xludf.DUMMYFUNCTION("""COMPUTED_VALUE"""),"verona_anis")</f>
        <v>verona_anis</v>
      </c>
      <c r="R118" s="61" t="str">
        <f>IFERROR(__xludf.DUMMYFUNCTION("""COMPUTED_VALUE"""),"Veranika Anisimava")</f>
        <v>Veranika Anisimava</v>
      </c>
      <c r="S118" s="61" t="str">
        <f>IFERROR(__xludf.DUMMYFUNCTION("""COMPUTED_VALUE"""),"Passport Veranika Anisimava.jpg")</f>
        <v>Passport Veranika Anisimava.jpg</v>
      </c>
      <c r="T118" s="61" t="str">
        <f>IFERROR(__xludf.DUMMYFUNCTION("""COMPUTED_VALUE"""),"IMG_7388.jpg")</f>
        <v>IMG_7388.jpg</v>
      </c>
      <c r="U118" s="61" t="str">
        <f>IFERROR(__xludf.DUMMYFUNCTION("""COMPUTED_VALUE"""),"Master")</f>
        <v>Master</v>
      </c>
      <c r="V118" s="61" t="str">
        <f>IFERROR(__xludf.DUMMYFUNCTION("""COMPUTED_VALUE"""),"Master of Geography")</f>
        <v>Master of Geography</v>
      </c>
      <c r="W118" s="61" t="str">
        <f>IFERROR(__xludf.DUMMYFUNCTION("""COMPUTED_VALUE"""),"Environmental Management and Nature Protection")</f>
        <v>Environmental Management and Nature Protection</v>
      </c>
      <c r="X118" s="61" t="str">
        <f>IFERROR(__xludf.DUMMYFUNCTION("""COMPUTED_VALUE"""),"Brest State University")</f>
        <v>Brest State University</v>
      </c>
      <c r="Y118" s="61" t="str">
        <f>IFERROR(__xludf.DUMMYFUNCTION("""COMPUTED_VALUE"""),"No")</f>
        <v>No</v>
      </c>
      <c r="Z118" s="61" t="str">
        <f>IFERROR(__xludf.DUMMYFUNCTION("""COMPUTED_VALUE"""),"Finland")</f>
        <v>Finland</v>
      </c>
      <c r="AA118" s="61" t="str">
        <f>IFERROR(__xludf.DUMMYFUNCTION("""COMPUTED_VALUE"""),"Yes")</f>
        <v>Yes</v>
      </c>
      <c r="AB118" s="61" t="str">
        <f>IFERROR(__xludf.DUMMYFUNCTION("""COMPUTED_VALUE"""),"University of Turku")</f>
        <v>University of Turku</v>
      </c>
      <c r="AC118" s="61" t="str">
        <f>IFERROR(__xludf.DUMMYFUNCTION("""COMPUTED_VALUE"""),"Yes")</f>
        <v>Yes</v>
      </c>
      <c r="AD118" s="61" t="str">
        <f>IFERROR(__xludf.DUMMYFUNCTION("""COMPUTED_VALUE"""),"Saint Nicolas Organisation (coordinated by Centre for Youth Cooperation and Mobility), Poland")</f>
        <v>Saint Nicolas Organisation (coordinated by Centre for Youth Cooperation and Mobility), Poland</v>
      </c>
      <c r="AE118" s="65" t="str">
        <f>IFERROR(__xludf.DUMMYFUNCTION("""COMPUTED_VALUE"""),"https://cwm.org.pl/")</f>
        <v>https://cwm.org.pl/</v>
      </c>
      <c r="AF118" s="61" t="str">
        <f>IFERROR(__xludf.DUMMYFUNCTION("""COMPUTED_VALUE"""),"Volunteer")</f>
        <v>Volunteer</v>
      </c>
      <c r="AG118" s="61" t="str">
        <f>IFERROR(__xludf.DUMMYFUNCTION("""COMPUTED_VALUE"""),"1 year (2017-2018)")</f>
        <v>1 year (2017-2018)</v>
      </c>
      <c r="AH118" s="61" t="str">
        <f>IFERROR(__xludf.DUMMYFUNCTION("""COMPUTED_VALUE"""),"Yes")</f>
        <v>Yes</v>
      </c>
      <c r="AI118" s="61" t="str">
        <f>IFERROR(__xludf.DUMMYFUNCTION("""COMPUTED_VALUE"""),"Export manager")</f>
        <v>Export manager</v>
      </c>
      <c r="AJ118" s="61" t="str">
        <f>IFERROR(__xludf.DUMMYFUNCTION("""COMPUTED_VALUE"""),"No")</f>
        <v>No</v>
      </c>
      <c r="AK118" s="61"/>
      <c r="AL118" s="61" t="str">
        <f>IFERROR(__xludf.DUMMYFUNCTION("""COMPUTED_VALUE"""),"Sales management, geographical teacher, communication skills, negotiations, analytical skills")</f>
        <v>Sales management, geographical teacher, communication skills, negotiations, analytical skills</v>
      </c>
      <c r="AM118" s="61" t="str">
        <f>IFERROR(__xludf.DUMMYFUNCTION("""COMPUTED_VALUE"""),"CV VERANIKA ANISIMAVA.pdf")</f>
        <v>CV VERANIKA ANISIMAVA.pdf</v>
      </c>
      <c r="AN118" s="61" t="str">
        <f>IFERROR(__xludf.DUMMYFUNCTION("""COMPUTED_VALUE"""),"For me changing the world is not something global. Its about specific actions on the local level. Changing life of one person launch powerful chain of changes. In my life its about changes in education, social and commercial spheres. My professional journ"&amp;"ey began at university where I taught environmental courses and instilling ecological mindset. As international volunteer, I helped children from families with problems by teaching them important life values. As a manager at language school, I helped peop"&amp;"le to get closer to their dreams through language education. As an export manager, Im link chain in achievement sustainable development goals.")</f>
        <v>For me changing the world is not something global. Its about specific actions on the local level. Changing life of one person launch powerful chain of changes. In my life its about changes in education, social and commercial spheres. My professional journey began at university where I taught environmental courses and instilling ecological mindset. As international volunteer, I helped children from families with problems by teaching them important life values. As a manager at language school, I helped people to get closer to their dreams through language education. As an export manager, Im link chain in achievement sustainable development goals.</v>
      </c>
      <c r="AO118" s="61" t="str">
        <f>IFERROR(__xludf.DUMMYFUNCTION("""COMPUTED_VALUE"""),"At my point, diplomatically significant country should comply following criteria: be politically neutral, not support military conflicts, promote dialogue in resolving conflicts, promote mutually beneficial international cooperation, protect human rights,"&amp;" support sustainable development goals. Generally, its country whose influence based not on military and economic dominance, but on influence through peacekeeping and humanism principles. Switzerland is associated with such country – example of military a"&amp;"nd economic neutrality, as well as center of concentration of world institutions. This country affects the world without military and economic power, but shows that diplomatic significance is possible through economic integration, environmental responsibi"&amp;"lity and human values.")</f>
        <v>At my point, diplomatically significant country should comply following criteria: be politically neutral, not support military conflicts, promote dialogue in resolving conflicts, promote mutually beneficial international cooperation, protect human rights, support sustainable development goals. Generally, its country whose influence based not on military and economic dominance, but on influence through peacekeeping and humanism principles. Switzerland is associated with such country – example of military and economic neutrality, as well as center of concentration of world institutions. This country affects the world without military and economic power, but shows that diplomatic significance is possible through economic integration, environmental responsibility and human values.</v>
      </c>
      <c r="AP118" s="61" t="str">
        <f>IFERROR(__xludf.DUMMYFUNCTION("""COMPUTED_VALUE"""),"Diplomacy is the most important element in building a modern society. Diplomacy unites various spheres of society, not just politics: real economy sector, sustainable development, social sphere. Young people play a key role in diplomacy, since they respon"&amp;"sible for the further development of diplomacy in various fields, relying on the experience of past generations and introducing innovations in the context of current geopolitical situation. The task of youth is to concrete practical actions that can make "&amp;"real changes for whole world. And the main strength of young people is their innovative and creative approaches, going beyond traditional approaches, in rethinking diplomacy in view of the changing world. My own professional path reflects this approach to"&amp;" public diplomacy. As a university geography teacher I was engaged in green diplomacy, developing global environmental thinking among future leaders. As international volunteer I practice humanitarian diplomacy by helping children. My current job as an ex"&amp;"port manager and negotiating international contracts is a daily practice in economic diplomacy. The strength and task of young people is to prove that modern diplomacy is built not only on ""dry politics"", but also on creating mutual trust through educat"&amp;"ion, culture and trade, building sustainable partnerships in all areas.")</f>
        <v>Diplomacy is the most important element in building a modern society. Diplomacy unites various spheres of society, not just politics: real economy sector, sustainable development, social sphere. Young people play a key role in diplomacy, since they responsible for the further development of diplomacy in various fields, relying on the experience of past generations and introducing innovations in the context of current geopolitical situation. The task of youth is to concrete practical actions that can make real changes for whole world. And the main strength of young people is their innovative and creative approaches, going beyond traditional approaches, in rethinking diplomacy in view of the changing world. My own professional path reflects this approach to public diplomacy. As a university geography teacher I was engaged in green diplomacy, developing global environmental thinking among future leaders. As international volunteer I practice humanitarian diplomacy by helping children. My current job as an export manager and negotiating international contracts is a daily practice in economic diplomacy. The strength and task of young people is to prove that modern diplomacy is built not only on "dry politics", but also on creating mutual trust through education, culture and trade, building sustainable partnerships in all areas.</v>
      </c>
      <c r="AQ118" s="61" t="str">
        <f>IFERROR(__xludf.DUMMYFUNCTION("""COMPUTED_VALUE"""),"Passion is the main element in achieving goals. For me passion define whole my life and all my professional steps. My professional path seems very diverse, but it is a consistent complete chain that has been formed thanks to my passion for knowing various"&amp;" spheres of life and moving forward, interest to the world and people. Passion helps build discipline. Discipline is the most important condition that helps to build a clear plan on the way to achieving goals and cope with the inevitable routine tasks on "&amp;"the way to the goal. Passion is an inner core that makes me move forward and not give up on difficulties, but grow through difficulties and see the long term. Passion is something that helps to move forward when nothing is working anymore. Passion is abou"&amp;"t healthy curiosity. Curiosity, in turn, helps to look at things comprehensively, notice details, and deeply learn questions.")</f>
        <v>Passion is the main element in achieving goals. For me passion define whole my life and all my professional steps. My professional path seems very diverse, but it is a consistent complete chain that has been formed thanks to my passion for knowing various spheres of life and moving forward, interest to the world and people. Passion helps build discipline. Discipline is the most important condition that helps to build a clear plan on the way to achieving goals and cope with the inevitable routine tasks on the way to the goal. Passion is an inner core that makes me move forward and not give up on difficulties, but grow through difficulties and see the long term. Passion is something that helps to move forward when nothing is working anymore. Passion is about healthy curiosity. Curiosity, in turn, helps to look at things comprehensively, notice details, and deeply learn questions.</v>
      </c>
      <c r="AR118" s="61" t="str">
        <f>IFERROR(__xludf.DUMMYFUNCTION("""COMPUTED_VALUE"""),"Creativity is not just about ability to find non-standard solutions and creative approach to problem situations. Its also about ability to find solution in situations where seems there is no solution. I consider myself as creative person. Thanks to my geo"&amp;"graphical mindset, which formed during my university period, I look at many aspects of life as on complete things, which allows me to find solutions to various issues. My versatile professional experience as university teacher, international volunteer, ma"&amp;"nager has formed a strong base of knowledge and skills that allows me to find many answers. My work at the university, volunteering – creative process of communication with children and students. This is constant search for creative solutions to build com"&amp;"munication with them. In sales and exports creativity is a tool in difficult negotiations and geopolitical situations. Creativity is simply necessary in the context of the sanctions that Belarus has faced recently, as well as during negotiations with part"&amp;"ners from different countries, taking into consideration differences in culture and business process. I can effectively incorporate my knowledge into effective diplomatic strategy. As a representative of dairy business at that moment, I represent this bus"&amp;"iness as contribution to global food security and sustainable development.")</f>
        <v>Creativity is not just about ability to find non-standard solutions and creative approach to problem situations. Its also about ability to find solution in situations where seems there is no solution. I consider myself as creative person. Thanks to my geographical mindset, which formed during my university period, I look at many aspects of life as on complete things, which allows me to find solutions to various issues. My versatile professional experience as university teacher, international volunteer, manager has formed a strong base of knowledge and skills that allows me to find many answers. My work at the university, volunteering – creative process of communication with children and students. This is constant search for creative solutions to build communication with them. In sales and exports creativity is a tool in difficult negotiations and geopolitical situations. Creativity is simply necessary in the context of the sanctions that Belarus has faced recently, as well as during negotiations with partners from different countries, taking into consideration differences in culture and business process. I can effectively incorporate my knowledge into effective diplomatic strategy. As a representative of dairy business at that moment, I represent this business as contribution to global food security and sustainable development.</v>
      </c>
      <c r="AS118" s="61" t="str">
        <f>IFERROR(__xludf.DUMMYFUNCTION("""COMPUTED_VALUE"""),"Yes")</f>
        <v>Yes</v>
      </c>
      <c r="AT118" s="61" t="str">
        <f>IFERROR(__xludf.DUMMYFUNCTION("""COMPUTED_VALUE"""),"Yes")</f>
        <v>Yes</v>
      </c>
      <c r="AU118" s="61" t="str">
        <f>IFERROR(__xludf.DUMMYFUNCTION("""COMPUTED_VALUE"""),"Philosophy, Media &amp; Diplomacy in International Relations")</f>
        <v>Philosophy, Media &amp; Diplomacy in International Relations</v>
      </c>
      <c r="AV118" s="61" t="str">
        <f>IFERROR(__xludf.DUMMYFUNCTION("""COMPUTED_VALUE"""),"Telegram")</f>
        <v>Telegram</v>
      </c>
      <c r="AW118" s="61" t="str">
        <f>IFERROR(__xludf.DUMMYFUNCTION("""COMPUTED_VALUE"""),"Public Diplomacy")</f>
        <v>Public Diplomacy</v>
      </c>
      <c r="AX118" s="66" t="str">
        <f>IFERROR(__xludf.DUMMYFUNCTION("""COMPUTED_VALUE"""),"Yes")</f>
        <v>Yes</v>
      </c>
      <c r="AY118" s="66">
        <f>IFERROR(__xludf.DUMMYFUNCTION("""COMPUTED_VALUE"""),15.99)</f>
        <v>15.99</v>
      </c>
      <c r="AZ118" s="61"/>
      <c r="BA118" s="61"/>
      <c r="BB118" s="61"/>
      <c r="BC118" s="61"/>
      <c r="BD118" s="61"/>
      <c r="BE118" s="61"/>
      <c r="BF118" s="61"/>
      <c r="BG118" s="61"/>
      <c r="BH118" s="61"/>
      <c r="BI118" s="61"/>
      <c r="BJ118" s="61"/>
      <c r="BK118" s="61"/>
      <c r="BL118" s="61"/>
      <c r="BM118" s="61"/>
      <c r="BN118" s="61"/>
      <c r="BO118" s="61"/>
      <c r="BP118" s="61"/>
      <c r="BQ118" s="61"/>
      <c r="BR118" s="61"/>
    </row>
    <row r="119" ht="15.75" customHeight="1">
      <c r="A119" s="61" t="str">
        <f>IFERROR(__xludf.DUMMYFUNCTION("""COMPUTED_VALUE"""),"")</f>
        <v/>
      </c>
      <c r="B119" s="62">
        <f>IFERROR(__xludf.DUMMYFUNCTION("""COMPUTED_VALUE"""),140.0)</f>
        <v>140</v>
      </c>
      <c r="C119" s="61" t="str">
        <f>IFERROR(__xludf.DUMMYFUNCTION("""COMPUTED_VALUE"""),"Self")</f>
        <v>Self</v>
      </c>
      <c r="D119" s="63" t="str">
        <f>IFERROR(__xludf.DUMMYFUNCTION("""COMPUTED_VALUE"""),"Submitted")</f>
        <v>Submitted</v>
      </c>
      <c r="E119" s="63">
        <f>IFERROR(__xludf.DUMMYFUNCTION("""COMPUTED_VALUE"""),46208.84027777778)</f>
        <v>46208.84028</v>
      </c>
      <c r="F119" s="61" t="str">
        <f>IFERROR(__xludf.DUMMYFUNCTION("""COMPUTED_VALUE"""),"Alnur Sugralin")</f>
        <v>Alnur Sugralin</v>
      </c>
      <c r="G119" s="61" t="str">
        <f>IFERROR(__xludf.DUMMYFUNCTION("""COMPUTED_VALUE"""),"Alnur Sugralin")</f>
        <v>Alnur Sugralin</v>
      </c>
      <c r="H119" s="61" t="str">
        <f>IFERROR(__xludf.DUMMYFUNCTION("""COMPUTED_VALUE"""),"zhanel.sugralina@gmail.com")</f>
        <v>zhanel.sugralina@gmail.com</v>
      </c>
      <c r="I119" s="61" t="str">
        <f>IFERROR(__xludf.DUMMYFUNCTION("""COMPUTED_VALUE"""),"databoom108@gmail.com")</f>
        <v>databoom108@gmail.com</v>
      </c>
      <c r="J119" s="61"/>
      <c r="K119" s="61" t="str">
        <f>IFERROR(__xludf.DUMMYFUNCTION("""COMPUTED_VALUE"""),"Kazakhstan")</f>
        <v>Kazakhstan</v>
      </c>
      <c r="L119" s="64" t="str">
        <f>IFERROR(__xludf.DUMMYFUNCTION("""COMPUTED_VALUE"""),"+97450700845")</f>
        <v>+97450700845</v>
      </c>
      <c r="M119" s="64">
        <f>IFERROR(__xludf.DUMMYFUNCTION("""COMPUTED_VALUE"""),39661.0)</f>
        <v>39661</v>
      </c>
      <c r="N119" s="61" t="str">
        <f>IFERROR(__xludf.DUMMYFUNCTION("""COMPUTED_VALUE"""),"N15287194")</f>
        <v>N15287194</v>
      </c>
      <c r="O119" s="61" t="str">
        <f>IFERROR(__xludf.DUMMYFUNCTION("""COMPUTED_VALUE"""),"+77015963200")</f>
        <v>+77015963200</v>
      </c>
      <c r="P119" s="61"/>
      <c r="Q119" s="61"/>
      <c r="R119" s="61"/>
      <c r="S119" s="61" t="str">
        <f>IFERROR(__xludf.DUMMYFUNCTION("""COMPUTED_VALUE"""),"IMG_0519.jpeg")</f>
        <v>IMG_0519.jpeg</v>
      </c>
      <c r="T119" s="61" t="str">
        <f>IFERROR(__xludf.DUMMYFUNCTION("""COMPUTED_VALUE"""),"IMG_0038.jpeg")</f>
        <v>IMG_0038.jpeg</v>
      </c>
      <c r="U119" s="61" t="str">
        <f>IFERROR(__xludf.DUMMYFUNCTION("""COMPUTED_VALUE"""),"High school")</f>
        <v>High school</v>
      </c>
      <c r="V119" s="61" t="str">
        <f>IFERROR(__xludf.DUMMYFUNCTION("""COMPUTED_VALUE"""),"High school student")</f>
        <v>High school student</v>
      </c>
      <c r="W119" s="61" t="str">
        <f>IFERROR(__xludf.DUMMYFUNCTION("""COMPUTED_VALUE"""),"IB")</f>
        <v>IB</v>
      </c>
      <c r="X119" s="61" t="str">
        <f>IFERROR(__xludf.DUMMYFUNCTION("""COMPUTED_VALUE"""),"Swiss International School")</f>
        <v>Swiss International School</v>
      </c>
      <c r="Y119" s="61" t="str">
        <f>IFERROR(__xludf.DUMMYFUNCTION("""COMPUTED_VALUE"""),"Yes")</f>
        <v>Yes</v>
      </c>
      <c r="Z119" s="61" t="str">
        <f>IFERROR(__xludf.DUMMYFUNCTION("""COMPUTED_VALUE"""),"Qatar")</f>
        <v>Qatar</v>
      </c>
      <c r="AA119" s="61" t="str">
        <f>IFERROR(__xludf.DUMMYFUNCTION("""COMPUTED_VALUE"""),"Yes")</f>
        <v>Yes</v>
      </c>
      <c r="AB119" s="61" t="str">
        <f>IFERROR(__xludf.DUMMYFUNCTION("""COMPUTED_VALUE"""),"Yale University, University of Geneva")</f>
        <v>Yale University, University of Geneva</v>
      </c>
      <c r="AC119" s="61"/>
      <c r="AD119" s="61" t="str">
        <f>IFERROR(__xludf.DUMMYFUNCTION("""COMPUTED_VALUE"""),"Qatar Animal Welfare Society")</f>
        <v>Qatar Animal Welfare Society</v>
      </c>
      <c r="AE119" s="65" t="str">
        <f>IFERROR(__xludf.DUMMYFUNCTION("""COMPUTED_VALUE"""),"https://www.qaws.org/newsite/")</f>
        <v>https://www.qaws.org/newsite/</v>
      </c>
      <c r="AF119" s="61" t="str">
        <f>IFERROR(__xludf.DUMMYFUNCTION("""COMPUTED_VALUE"""),"Volunteer")</f>
        <v>Volunteer</v>
      </c>
      <c r="AG119" s="61" t="str">
        <f>IFERROR(__xludf.DUMMYFUNCTION("""COMPUTED_VALUE"""),"1")</f>
        <v>1</v>
      </c>
      <c r="AH119" s="61" t="str">
        <f>IFERROR(__xludf.DUMMYFUNCTION("""COMPUTED_VALUE"""),"No")</f>
        <v>No</v>
      </c>
      <c r="AI119" s="61"/>
      <c r="AJ119" s="61" t="str">
        <f>IFERROR(__xludf.DUMMYFUNCTION("""COMPUTED_VALUE"""),"I organized donation for the animals shelter")</f>
        <v>I organized donation for the animals shelter</v>
      </c>
      <c r="AK119" s="61" t="str">
        <f>IFERROR(__xludf.DUMMYFUNCTION("""COMPUTED_VALUE"""),"To help the animals shelter")</f>
        <v>To help the animals shelter</v>
      </c>
      <c r="AL119" s="61" t="str">
        <f>IFERROR(__xludf.DUMMYFUNCTION("""COMPUTED_VALUE"""),"Leadership, communication, curiosity")</f>
        <v>Leadership, communication, curiosity</v>
      </c>
      <c r="AM119" s="61" t="str">
        <f>IFERROR(__xludf.DUMMYFUNCTION("""COMPUTED_VALUE"""),"Alnur_CV1.docx")</f>
        <v>Alnur_CV1.docx</v>
      </c>
      <c r="AN119" s="61" t="str">
        <f>IFERROR(__xludf.DUMMYFUNCTION("""COMPUTED_VALUE"""),"Yes. I believe meaningful change begins with small actions and consistent effort. In my school community, I organized a donation drive and volunteer visit for the Qatar Animal Welfare Society (QAWS), helping raise awareness about animal welfare and commun"&amp;"ity responsibility. As a mathematics mentor, I support younger students in building confidence and improving their academic skills. I have also developed sustainability-focused projects, including “Cool-Oasis,” a solar-powered device designed to provide c"&amp;"hilled water for desert wildlife. Through leadership, volunteering, and innovation, I strive to create positive impact and inspire others to contribute to solutions that benefit both people and the environment.")</f>
        <v>Yes. I believe meaningful change begins with small actions and consistent effort. In my school community, I organized a donation drive and volunteer visit for the Qatar Animal Welfare Society (QAWS), helping raise awareness about animal welfare and community responsibility. As a mathematics mentor, I support younger students in building confidence and improving their academic skills. I have also developed sustainability-focused projects, including “Cool-Oasis,” a solar-powered device designed to provide chilled water for desert wildlife. Through leadership, volunteering, and innovation, I strive to create positive impact and inspire others to contribute to solutions that benefit both people and the environment.</v>
      </c>
      <c r="AO119" s="61" t="str">
        <f>IFERROR(__xludf.DUMMYFUNCTION("""COMPUTED_VALUE"""),"I believe both the United States and Qatar are diplomatically significant because they play influential yet complementary roles in international affairs. The United States remains one of the world’s leading powers, shaping global policy through its econom"&amp;"ic strength, innovation, and extensive diplomatic network. Qatar, despite its small size, has established itself as a respected mediator and host for international dialogue, facilitating discussions on regional conflicts, humanitarian issues, and global c"&amp;"ooperation.
Having lived in Qatar and participated in programmes focused on diplomacy and international relations, I have seen how countries of different sizes can contribute to peace and development. Together, the United States and Qatar demonstrate the"&amp;" importance of collaboration, dialogue, and global leadership in addressing today’s challenges.")</f>
        <v>I believe both the United States and Qatar are diplomatically significant because they play influential yet complementary roles in international affairs. The United States remains one of the world’s leading powers, shaping global policy through its economic strength, innovation, and extensive diplomatic network. Qatar, despite its small size, has established itself as a respected mediator and host for international dialogue, facilitating discussions on regional conflicts, humanitarian issues, and global cooperation.
Having lived in Qatar and participated in programmes focused on diplomacy and international relations, I have seen how countries of different sizes can contribute to peace and development. Together, the United States and Qatar demonstrate the importance of collaboration, dialogue, and global leadership in addressing today’s challenges.</v>
      </c>
      <c r="AP119" s="61" t="str">
        <f>IFERROR(__xludf.DUMMYFUNCTION("""COMPUTED_VALUE"""),"Youth play a vital role in diplomacy because they bring fresh perspectives, creativity, and a long-term commitment to solving global challenges. In an increasingly interconnected world, young people can build bridges across cultures, promote dialogue, and"&amp;" use technology and social media to foster international understanding. Their voices are especially important in addressing issues such as climate change, sustainability, education, and social inclusion.
I relate strongly to the idea of public diplomacy "&amp;"because many of my experiences involve engaging with people from different backgrounds and representing my community in international settings. Through Model United Nations conferences, the Yale Global Diplomacy Programme, and the Future Sustainability In"&amp;"novators Programme at the University of Geneva, I have developed a deeper understanding of how dialogue and cooperation can strengthen international relationships. I believe public diplomacy is not limited to governments; it also includes students, volunt"&amp;"eers, and young leaders who create connections between people and cultures. By promoting understanding, collaboration, and shared solutions, youth can contribute meaningfully to a more peaceful and cooperative world.")</f>
        <v>Youth play a vital role in diplomacy because they bring fresh perspectives, creativity, and a long-term commitment to solving global challenges. In an increasingly interconnected world, young people can build bridges across cultures, promote dialogue, and use technology and social media to foster international understanding. Their voices are especially important in addressing issues such as climate change, sustainability, education, and social inclusion.
I relate strongly to the idea of public diplomacy because many of my experiences involve engaging with people from different backgrounds and representing my community in international settings. Through Model United Nations conferences, the Yale Global Diplomacy Programme, and the Future Sustainability Innovators Programme at the University of Geneva, I have developed a deeper understanding of how dialogue and cooperation can strengthen international relationships. I believe public diplomacy is not limited to governments; it also includes students, volunteers, and young leaders who create connections between people and cultures. By promoting understanding, collaboration, and shared solutions, youth can contribute meaningfully to a more peaceful and cooperative world.</v>
      </c>
      <c r="AQ119" s="61" t="str">
        <f>IFERROR(__xludf.DUMMYFUNCTION("""COMPUTED_VALUE"""),"Passion is the deep enthusiasm and dedication that drives a person to pursue meaningful goals and continue moving forward despite challenges. It provides motivation, resilience, and a sense of purpose, transforming ambitions into achievements.
Passion pl"&amp;"ays a significant role in helping me achieve my goals. My passion for engineering, innovation, and sustainability motivates me to participate in robotics competitions, develop projects such as the “Cool-Oasis” device for desert wildlife, and pursue academ"&amp;"ic opportunities through programs at Yale, Harvard, and the University of Geneva. I am also passionate about long-distance running and have completed multiple half-marathons in Qatar. Through consistent training, I improved my half-marathon time from near"&amp;"ly three hours to 1 hour and 54 minutes, demonstrating discipline and perseverance. In the future, I hope to establish a runners’ club that encourages young people to adopt healthy lifestyles, build resilience, and support one another in achieving persona"&amp;"l goals. Passion gives me the determination to grow, lead, and make a positive impact in my community.")</f>
        <v>Passion is the deep enthusiasm and dedication that drives a person to pursue meaningful goals and continue moving forward despite challenges. It provides motivation, resilience, and a sense of purpose, transforming ambitions into achievements.
Passion plays a significant role in helping me achieve my goals. My passion for engineering, innovation, and sustainability motivates me to participate in robotics competitions, develop projects such as the “Cool-Oasis” device for desert wildlife, and pursue academic opportunities through programs at Yale, Harvard, and the University of Geneva. I am also passionate about long-distance running and have completed multiple half-marathons in Qatar. Through consistent training, I improved my half-marathon time from nearly three hours to 1 hour and 54 minutes, demonstrating discipline and perseverance. In the future, I hope to establish a runners’ club that encourages young people to adopt healthy lifestyles, build resilience, and support one another in achieving personal goals. Passion gives me the determination to grow, lead, and make a positive impact in my community.</v>
      </c>
      <c r="AR119" s="61" t="str">
        <f>IFERROR(__xludf.DUMMYFUNCTION("""COMPUTED_VALUE"""),"Yes, I consider myself a creative person because I enjoy finding innovative solutions to real-world challenges. Creativity is not only about art or design; it is also about identifying problems, generating new ideas, and turning them into practical action"&amp;". For example, I developed the “Cool-Oasis” concept, a solar-powered device designed to provide chilled water for desert wildlife, and collaborated with international peers to create a sustainability-focused device during the Future Sustainability Innovat"&amp;"ors Programme at the University of Geneva.
I believe creativity can be a powerful tool in public diplomacy. Traditional diplomacy often occurs between governments, but public diplomacy focuses on connecting people, cultures, and communities. Creative app"&amp;"roaches such as youth-led initiatives, social media campaigns, cultural exchanges, sports events, and environmental projects can bring people together and foster mutual understanding. As someone passionate about both diplomacy and long-distance running, I"&amp;" hope to establish a runners’ club that welcomes participants from diverse backgrounds. Such initiatives can create meaningful connections, promote intercultural dialogue, and strengthen community engagement. By combining creativity with leadership and co"&amp;"mmunication, public diplomacy becomes more accessible, engaging, and effective in building trust and cooperation across cultures.")</f>
        <v>Yes, I consider myself a creative person because I enjoy finding innovative solutions to real-world challenges. Creativity is not only about art or design; it is also about identifying problems, generating new ideas, and turning them into practical action. For example, I developed the “Cool-Oasis” concept, a solar-powered device designed to provide chilled water for desert wildlife, and collaborated with international peers to create a sustainability-focused device during the Future Sustainability Innovators Programme at the University of Geneva.
I believe creativity can be a powerful tool in public diplomacy. Traditional diplomacy often occurs between governments, but public diplomacy focuses on connecting people, cultures, and communities. Creative approaches such as youth-led initiatives, social media campaigns, cultural exchanges, sports events, and environmental projects can bring people together and foster mutual understanding. As someone passionate about both diplomacy and long-distance running, I hope to establish a runners’ club that welcomes participants from diverse backgrounds. Such initiatives can create meaningful connections, promote intercultural dialogue, and strengthen community engagement. By combining creativity with leadership and communication, public diplomacy becomes more accessible, engaging, and effective in building trust and cooperation across cultures.</v>
      </c>
      <c r="AS119" s="61" t="str">
        <f>IFERROR(__xludf.DUMMYFUNCTION("""COMPUTED_VALUE"""),"Yes")</f>
        <v>Yes</v>
      </c>
      <c r="AT119" s="61" t="str">
        <f>IFERROR(__xludf.DUMMYFUNCTION("""COMPUTED_VALUE"""),"Yes")</f>
        <v>Yes</v>
      </c>
      <c r="AU119" s="61" t="str">
        <f>IFERROR(__xludf.DUMMYFUNCTION("""COMPUTED_VALUE"""),"Global Politics, Diplomacy &amp; Identities")</f>
        <v>Global Politics, Diplomacy &amp; Identities</v>
      </c>
      <c r="AV119" s="61" t="str">
        <f>IFERROR(__xludf.DUMMYFUNCTION("""COMPUTED_VALUE"""),"Scholarships portal")</f>
        <v>Scholarships portal</v>
      </c>
      <c r="AW119" s="61" t="str">
        <f>IFERROR(__xludf.DUMMYFUNCTION("""COMPUTED_VALUE"""),"All related to diplomacy, sustainability, economics")</f>
        <v>All related to diplomacy, sustainability, economics</v>
      </c>
      <c r="AX119" s="66" t="str">
        <f>IFERROR(__xludf.DUMMYFUNCTION("""COMPUTED_VALUE"""),"Yes")</f>
        <v>Yes</v>
      </c>
      <c r="AY119" s="66">
        <f>IFERROR(__xludf.DUMMYFUNCTION("""COMPUTED_VALUE"""),15.99)</f>
        <v>15.99</v>
      </c>
      <c r="AZ119" s="61"/>
      <c r="BA119" s="61"/>
      <c r="BB119" s="61"/>
      <c r="BC119" s="61"/>
      <c r="BD119" s="61"/>
      <c r="BE119" s="61"/>
      <c r="BF119" s="61"/>
      <c r="BG119" s="61"/>
      <c r="BH119" s="61"/>
      <c r="BI119" s="61"/>
      <c r="BJ119" s="61"/>
      <c r="BK119" s="61"/>
      <c r="BL119" s="61"/>
      <c r="BM119" s="61"/>
      <c r="BN119" s="61"/>
      <c r="BO119" s="61"/>
      <c r="BP119" s="61"/>
      <c r="BQ119" s="61"/>
      <c r="BR119" s="61"/>
    </row>
    <row r="120" ht="15.75" customHeight="1">
      <c r="A120" s="61" t="str">
        <f>IFERROR(__xludf.DUMMYFUNCTION("""COMPUTED_VALUE"""),"Full/partial")</f>
        <v>Full/partial</v>
      </c>
      <c r="B120" s="62">
        <f>IFERROR(__xludf.DUMMYFUNCTION("""COMPUTED_VALUE"""),141.0)</f>
        <v>141</v>
      </c>
      <c r="C120" s="61" t="str">
        <f>IFERROR(__xludf.DUMMYFUNCTION("""COMPUTED_VALUE"""),"Partial")</f>
        <v>Partial</v>
      </c>
      <c r="D120" s="63" t="str">
        <f>IFERROR(__xludf.DUMMYFUNCTION("""COMPUTED_VALUE"""),"Submitted")</f>
        <v>Submitted</v>
      </c>
      <c r="E120" s="63">
        <f>IFERROR(__xludf.DUMMYFUNCTION("""COMPUTED_VALUE"""),46208.85416666666)</f>
        <v>46208.85417</v>
      </c>
      <c r="F120" s="61" t="str">
        <f>IFERROR(__xludf.DUMMYFUNCTION("""COMPUTED_VALUE"""),"Mihaela-Alexandra Istim")</f>
        <v>Mihaela-Alexandra Istim</v>
      </c>
      <c r="G120" s="61" t="str">
        <f>IFERROR(__xludf.DUMMYFUNCTION("""COMPUTED_VALUE"""),"Mihaela-Alexandra Istim")</f>
        <v>Mihaela-Alexandra Istim</v>
      </c>
      <c r="H120" s="61" t="str">
        <f>IFERROR(__xludf.DUMMYFUNCTION("""COMPUTED_VALUE"""),"mihaelaistim@gmail.com")</f>
        <v>mihaelaistim@gmail.com</v>
      </c>
      <c r="I120" s="61" t="str">
        <f>IFERROR(__xludf.DUMMYFUNCTION("""COMPUTED_VALUE"""),"adrianaistim@gmail.com")</f>
        <v>adrianaistim@gmail.com</v>
      </c>
      <c r="J120" s="61" t="str">
        <f>IFERROR(__xludf.DUMMYFUNCTION("""COMPUTED_VALUE"""),"Arcadiei Street, House number: 9, Bucharest, Romania")</f>
        <v>Arcadiei Street, House number: 9, Bucharest, Romania</v>
      </c>
      <c r="K120" s="61" t="str">
        <f>IFERROR(__xludf.DUMMYFUNCTION("""COMPUTED_VALUE"""),"Romanian")</f>
        <v>Romanian</v>
      </c>
      <c r="L120" s="64" t="str">
        <f>IFERROR(__xludf.DUMMYFUNCTION("""COMPUTED_VALUE"""),"+40 733 689 389")</f>
        <v>+40 733 689 389</v>
      </c>
      <c r="M120" s="64">
        <f>IFERROR(__xludf.DUMMYFUNCTION("""COMPUTED_VALUE"""),37648.0)</f>
        <v>37648</v>
      </c>
      <c r="N120" s="61" t="str">
        <f>IFERROR(__xludf.DUMMYFUNCTION("""COMPUTED_VALUE"""),"065849727")</f>
        <v>065849727</v>
      </c>
      <c r="O120" s="61" t="str">
        <f>IFERROR(__xludf.DUMMYFUNCTION("""COMPUTED_VALUE"""),"+40 727 682 382")</f>
        <v>+40 727 682 382</v>
      </c>
      <c r="P120" s="65" t="str">
        <f>IFERROR(__xludf.DUMMYFUNCTION("""COMPUTED_VALUE"""),"linkedin.com/in/mihaela-istim-b4102a250")</f>
        <v>linkedin.com/in/mihaela-istim-b4102a250</v>
      </c>
      <c r="Q120" s="61"/>
      <c r="R120" s="61"/>
      <c r="S120" s="61" t="str">
        <f>IFERROR(__xludf.DUMMYFUNCTION("""COMPUTED_VALUE"""),"Passport Mihaela Istim.jpeg")</f>
        <v>Passport Mihaela Istim.jpeg</v>
      </c>
      <c r="T120" s="61" t="str">
        <f>IFERROR(__xludf.DUMMYFUNCTION("""COMPUTED_VALUE"""),"Profile picture Mihaela Istim.jpeg")</f>
        <v>Profile picture Mihaela Istim.jpeg</v>
      </c>
      <c r="U120" s="61" t="str">
        <f>IFERROR(__xludf.DUMMYFUNCTION("""COMPUTED_VALUE"""),"Master's")</f>
        <v>Master's</v>
      </c>
      <c r="V120" s="61" t="str">
        <f>IFERROR(__xludf.DUMMYFUNCTION("""COMPUTED_VALUE"""),"Master's Degree")</f>
        <v>Master's Degree</v>
      </c>
      <c r="W120" s="61" t="str">
        <f>IFERROR(__xludf.DUMMYFUNCTION("""COMPUTED_VALUE"""),"Diplomacy in International Economics")</f>
        <v>Diplomacy in International Economics</v>
      </c>
      <c r="X120" s="61" t="str">
        <f>IFERROR(__xludf.DUMMYFUNCTION("""COMPUTED_VALUE"""),"Bucharest University of Economic Studies (ASE)")</f>
        <v>Bucharest University of Economic Studies (ASE)</v>
      </c>
      <c r="Y120" s="61" t="str">
        <f>IFERROR(__xludf.DUMMYFUNCTION("""COMPUTED_VALUE"""),"No")</f>
        <v>No</v>
      </c>
      <c r="Z120" s="61" t="str">
        <f>IFERROR(__xludf.DUMMYFUNCTION("""COMPUTED_VALUE"""),"Romania")</f>
        <v>Romania</v>
      </c>
      <c r="AA120" s="61" t="str">
        <f>IFERROR(__xludf.DUMMYFUNCTION("""COMPUTED_VALUE"""),"Yes")</f>
        <v>Yes</v>
      </c>
      <c r="AB120" s="61" t="str">
        <f>IFERROR(__xludf.DUMMYFUNCTION("""COMPUTED_VALUE"""),"Polytechnic Institute of Porto")</f>
        <v>Polytechnic Institute of Porto</v>
      </c>
      <c r="AC120" s="61" t="str">
        <f>IFERROR(__xludf.DUMMYFUNCTION("""COMPUTED_VALUE"""),"Yes, I have conducted research on diplomacy topics, written research papers, and participated in academic research competitions during my studies.")</f>
        <v>Yes, I have conducted research on diplomacy topics, written research papers, and participated in academic research competitions during my studies.</v>
      </c>
      <c r="AD120" s="61" t="str">
        <f>IFERROR(__xludf.DUMMYFUNCTION("""COMPUTED_VALUE"""),"Europe Direct Bucharest Center")</f>
        <v>Europe Direct Bucharest Center</v>
      </c>
      <c r="AE120" s="65" t="str">
        <f>IFERROR(__xludf.DUMMYFUNCTION("""COMPUTED_VALUE"""),"https://europedirectbucuresti.ier.gov.ro/")</f>
        <v>https://europedirectbucuresti.ier.gov.ro/</v>
      </c>
      <c r="AF120" s="61" t="str">
        <f>IFERROR(__xludf.DUMMYFUNCTION("""COMPUTED_VALUE"""),"Volunteer")</f>
        <v>Volunteer</v>
      </c>
      <c r="AG120" s="61" t="str">
        <f>IFERROR(__xludf.DUMMYFUNCTION("""COMPUTED_VALUE"""),"6")</f>
        <v>6</v>
      </c>
      <c r="AH120" s="61" t="str">
        <f>IFERROR(__xludf.DUMMYFUNCTION("""COMPUTED_VALUE"""),"Yes")</f>
        <v>Yes</v>
      </c>
      <c r="AI120" s="61" t="str">
        <f>IFERROR(__xludf.DUMMYFUNCTION("""COMPUTED_VALUE"""),"Partnership Manager")</f>
        <v>Partnership Manager</v>
      </c>
      <c r="AJ120" s="61"/>
      <c r="AK120" s="61"/>
      <c r="AL120" s="61" t="str">
        <f>IFERROR(__xludf.DUMMYFUNCTION("""COMPUTED_VALUE"""),"Economist and International Affairs Specialist")</f>
        <v>Economist and International Affairs Specialist</v>
      </c>
      <c r="AM120" s="61" t="str">
        <f>IFERROR(__xludf.DUMMYFUNCTION("""COMPUTED_VALUE"""),"Mihaela_Istim_CV_EN.pdf")</f>
        <v>Mihaela_Istim_CV_EN.pdf</v>
      </c>
      <c r="AN120" s="61" t="str">
        <f>IFERROR(__xludf.DUMMYFUNCTION("""COMPUTED_VALUE"""),"Yes, changing the world has always been one of my biggest ambitions. Over the past several years, I've worked toward that through action and knowledge: six years volunteering with Europe Direct Bucharest, organizing public campaigns, debates, and youth in"&amp;"itiatives on European values, performing in a forum theatre troupe that sparked social dialogue in Romania and abroad, and founding the ""Ticket to the European Union"" project. I've also attended many diplomacy and international relations conferences,man"&amp;"y including European leaders. My academic research on EU diplomatic negotiations reflects the same drive: understanding international dialogue well enough to help shape it.")</f>
        <v>Yes, changing the world has always been one of my biggest ambitions. Over the past several years, I've worked toward that through action and knowledge: six years volunteering with Europe Direct Bucharest, organizing public campaigns, debates, and youth initiatives on European values, performing in a forum theatre troupe that sparked social dialogue in Romania and abroad, and founding the "Ticket to the European Union" project. I've also attended many diplomacy and international relations conferences,many including European leaders. My academic research on EU diplomatic negotiations reflects the same drive: understanding international dialogue well enough to help shape it.</v>
      </c>
      <c r="AO120" s="61" t="str">
        <f>IFERROR(__xludf.DUMMYFUNCTION("""COMPUTED_VALUE"""),"I consider Estonia one of the world's most diplomatically significant countries. After the 2007 cyberattacks disrupted its banks, media, and government services, Estonia transformed itself into a global leader in cyber diplomacy and helped establish NATO'"&amp;"s Cooperative Cyber Defence Centre of Excellence in Tallinn. I researched this case during my master's studies in Diplomacy in International Economics, and what impressed me most was how Estonia turned vulnerability into diplomatic influence by helping sh"&amp;"ape international cybersecurity norms. For a country of just 1.3 million people, Estonia proves that expertise, resilience, and strategic vision can outweigh size in global diplomacy.")</f>
        <v>I consider Estonia one of the world's most diplomatically significant countries. After the 2007 cyberattacks disrupted its banks, media, and government services, Estonia transformed itself into a global leader in cyber diplomacy and helped establish NATO's Cooperative Cyber Defence Centre of Excellence in Tallinn. I researched this case during my master's studies in Diplomacy in International Economics, and what impressed me most was how Estonia turned vulnerability into diplomatic influence by helping shape international cybersecurity norms. For a country of just 1.3 million people, Estonia proves that expertise, resilience, and strategic vision can outweigh size in global diplomacy.</v>
      </c>
      <c r="AP120" s="61" t="str">
        <f>IFERROR(__xludf.DUMMYFUNCTION("""COMPUTED_VALUE"""),"Young people have an important role in diplomacy because they connect institutions with society. While they are not usually the ones making foreign policy decisions, they help make international issues more understandable and relevant to their communities"&amp;". They also bring new perspectives, digital communication skills, and the confidence to challenge traditional ways of thinking.
This is why I relate strongly to the idea of public diplomacy. For six years, I worked with Europe Direct Bucharest, where my r"&amp;"ole was to communicate European Union policies in ways that people could genuinely connect with. Through social media campaigns, public events, and even theatre performances, we translated complex topics into conversations that felt accessible and engagin"&amp;"g. Seeing people ask questions, change their perspectives, or simply become more interested in European affairs showed me that diplomacy is not limited to meetings between governments. It also happens when citizens feel informed, included, and willing to "&amp;"participate.
My master's studies gave me the academic foundation to understand diplomacy, but these experiences taught me that trust is built through communication. For me, public diplomacy is about creating dialogue, making institutions more approachable"&amp;", and strengthening the relationship between people and public policy.")</f>
        <v>Young people have an important role in diplomacy because they connect institutions with society. While they are not usually the ones making foreign policy decisions, they help make international issues more understandable and relevant to their communities. They also bring new perspectives, digital communication skills, and the confidence to challenge traditional ways of thinking.
This is why I relate strongly to the idea of public diplomacy. For six years, I worked with Europe Direct Bucharest, where my role was to communicate European Union policies in ways that people could genuinely connect with. Through social media campaigns, public events, and even theatre performances, we translated complex topics into conversations that felt accessible and engaging. Seeing people ask questions, change their perspectives, or simply become more interested in European affairs showed me that diplomacy is not limited to meetings between governments. It also happens when citizens feel informed, included, and willing to participate.
My master's studies gave me the academic foundation to understand diplomacy, but these experiences taught me that trust is built through communication. For me, public diplomacy is about creating dialogue, making institutions more approachable, and strengthening the relationship between people and public policy.</v>
      </c>
      <c r="AQ120" s="61" t="str">
        <f>IFERROR(__xludf.DUMMYFUNCTION("""COMPUTED_VALUE"""),"For me, passion is what keeps me committed long after the initial excitement fades. It is the reason I continue investing time and effort in something, even when it becomes challenging or demanding.
I experienced this during my master's studies while work"&amp;"ing full-time. After work, I would attend classes, research diplomacy and international negotiations, and write papers because I genuinely wanted to understand the subject more deeply. Earlier, during my bachelor's studies, the same passion led me to volu"&amp;"nteer with Europe Direct Bucharest, where I helped communicate European policies and encourage civic engagement among young people.
Passion gives me consistency rather than short bursts of motivation. It has encouraged me to go beyond academic requirement"&amp;"s and stay engaged with European affairs. I believe skills can be learned, but passion is what gives us the persistence to keep improving and turn long-term goals into meaningful achievements.")</f>
        <v>For me, passion is what keeps me committed long after the initial excitement fades. It is the reason I continue investing time and effort in something, even when it becomes challenging or demanding.
I experienced this during my master's studies while working full-time. After work, I would attend classes, research diplomacy and international negotiations, and write papers because I genuinely wanted to understand the subject more deeply. Earlier, during my bachelor's studies, the same passion led me to volunteer with Europe Direct Bucharest, where I helped communicate European policies and encourage civic engagement among young people.
Passion gives me consistency rather than short bursts of motivation. It has encouraged me to go beyond academic requirements and stay engaged with European affairs. I believe skills can be learned, but passion is what gives us the persistence to keep improving and turn long-term goals into meaningful achievements.</v>
      </c>
      <c r="AR120" s="61" t="str">
        <f>IFERROR(__xludf.DUMMYFUNCTION("""COMPUTED_VALUE"""),"I consider myself a creative person because I enjoy finding new ways to make complex topics accessible. Working as a Marketing Expert and Social Media Intern at the European Institute of Romania taught me that the same information can receive completely d"&amp;"ifferent reactions depending on how it is communicated. Creating campaigns, adapting messages for different audiences, and choosing the right format became just as important as the content itself.
That experience inspired one of my master's research proje"&amp;"cts, where I analyzed how several states used X during diplomatic events. I examined their discourse, communication strategies, and visual content to understand how social media shapes public diplomacy and influences public perception. The research showed"&amp;" me that diplomatic messages no longer reach people only through official statements. They are interpreted, shared, and debated in real time across digital platforms.
An effective public diplomacy strategy therefore requires more than accurate information"&amp;". It needs clear communication, an understanding of different audiences, and the ability to adapt messages without losing credibility. My background in both marketing and diplomacy has shown me how these elements can work together to build trust and stren"&amp;"gthen international engagement.")</f>
        <v>I consider myself a creative person because I enjoy finding new ways to make complex topics accessible. Working as a Marketing Expert and Social Media Intern at the European Institute of Romania taught me that the same information can receive completely different reactions depending on how it is communicated. Creating campaigns, adapting messages for different audiences, and choosing the right format became just as important as the content itself.
That experience inspired one of my master's research projects, where I analyzed how several states used X during diplomatic events. I examined their discourse, communication strategies, and visual content to understand how social media shapes public diplomacy and influences public perception. The research showed me that diplomatic messages no longer reach people only through official statements. They are interpreted, shared, and debated in real time across digital platforms.
An effective public diplomacy strategy therefore requires more than accurate information. It needs clear communication, an understanding of different audiences, and the ability to adapt messages without losing credibility. My background in both marketing and diplomacy has shown me how these elements can work together to build trust and strengthen international engagement.</v>
      </c>
      <c r="AS120" s="61" t="str">
        <f>IFERROR(__xludf.DUMMYFUNCTION("""COMPUTED_VALUE"""),"Yes")</f>
        <v>Yes</v>
      </c>
      <c r="AT120" s="61" t="str">
        <f>IFERROR(__xludf.DUMMYFUNCTION("""COMPUTED_VALUE"""),"Yes")</f>
        <v>Yes</v>
      </c>
      <c r="AU120" s="61" t="str">
        <f>IFERROR(__xludf.DUMMYFUNCTION("""COMPUTED_VALUE"""),"Philosophy, Media &amp; Diplomacy in International Relations")</f>
        <v>Philosophy, Media &amp; Diplomacy in International Relations</v>
      </c>
      <c r="AV120" s="61" t="str">
        <f>IFERROR(__xludf.DUMMYFUNCTION("""COMPUTED_VALUE"""),"Scholarships portal")</f>
        <v>Scholarships portal</v>
      </c>
      <c r="AW120" s="61" t="str">
        <f>IFERROR(__xludf.DUMMYFUNCTION("""COMPUTED_VALUE"""),"Public Diplomacy in the 21st Century")</f>
        <v>Public Diplomacy in the 21st Century</v>
      </c>
      <c r="AX120" s="66" t="str">
        <f>IFERROR(__xludf.DUMMYFUNCTION("""COMPUTED_VALUE"""),"Yes")</f>
        <v>Yes</v>
      </c>
      <c r="AY120" s="66">
        <f>IFERROR(__xludf.DUMMYFUNCTION("""COMPUTED_VALUE"""),15.99)</f>
        <v>15.99</v>
      </c>
      <c r="AZ120" s="61"/>
      <c r="BA120" s="61"/>
      <c r="BB120" s="61"/>
      <c r="BC120" s="61"/>
      <c r="BD120" s="61"/>
      <c r="BE120" s="61"/>
      <c r="BF120" s="61"/>
      <c r="BG120" s="61"/>
      <c r="BH120" s="61"/>
      <c r="BI120" s="61"/>
      <c r="BJ120" s="61"/>
      <c r="BK120" s="61"/>
      <c r="BL120" s="61"/>
      <c r="BM120" s="61"/>
      <c r="BN120" s="61"/>
      <c r="BO120" s="61"/>
      <c r="BP120" s="61"/>
      <c r="BQ120" s="61"/>
      <c r="BR120" s="61"/>
    </row>
    <row r="121" ht="15.75" customHeight="1">
      <c r="A121" s="61" t="str">
        <f>IFERROR(__xludf.DUMMYFUNCTION("""COMPUTED_VALUE"""),"partial")</f>
        <v>partial</v>
      </c>
      <c r="B121" s="62">
        <f>IFERROR(__xludf.DUMMYFUNCTION("""COMPUTED_VALUE"""),142.0)</f>
        <v>142</v>
      </c>
      <c r="C121" s="61" t="str">
        <f>IFERROR(__xludf.DUMMYFUNCTION("""COMPUTED_VALUE"""),"partial")</f>
        <v>partial</v>
      </c>
      <c r="D121" s="63" t="str">
        <f>IFERROR(__xludf.DUMMYFUNCTION("""COMPUTED_VALUE"""),"Submitted")</f>
        <v>Submitted</v>
      </c>
      <c r="E121" s="63">
        <f>IFERROR(__xludf.DUMMYFUNCTION("""COMPUTED_VALUE"""),46208.86736111111)</f>
        <v>46208.86736</v>
      </c>
      <c r="F121" s="61" t="str">
        <f>IFERROR(__xludf.DUMMYFUNCTION("""COMPUTED_VALUE"""),"Amir Gafur")</f>
        <v>Amir Gafur</v>
      </c>
      <c r="G121" s="61" t="str">
        <f>IFERROR(__xludf.DUMMYFUNCTION("""COMPUTED_VALUE"""),"Muhammad Amir Hamzah Bin Haji Abdul Gafur")</f>
        <v>Muhammad Amir Hamzah Bin Haji Abdul Gafur</v>
      </c>
      <c r="H121" s="61" t="str">
        <f>IFERROR(__xludf.DUMMYFUNCTION("""COMPUTED_VALUE"""),"amirhamzah1810@gmail.com")</f>
        <v>amirhamzah1810@gmail.com</v>
      </c>
      <c r="I121" s="61" t="str">
        <f>IFERROR(__xludf.DUMMYFUNCTION("""COMPUTED_VALUE"""),"amirhamzahgafur@gmail.com")</f>
        <v>amirhamzahgafur@gmail.com</v>
      </c>
      <c r="J121" s="61" t="str">
        <f>IFERROR(__xludf.DUMMYFUNCTION("""COMPUTED_VALUE"""),"No.3, Spg 38, Kg OKBI, Jalan Pulaie, Berakas, NBD, BB4113, Bandar Seri Begawan, Brunei Darussalam")</f>
        <v>No.3, Spg 38, Kg OKBI, Jalan Pulaie, Berakas, NBD, BB4113, Bandar Seri Begawan, Brunei Darussalam</v>
      </c>
      <c r="K121" s="61" t="str">
        <f>IFERROR(__xludf.DUMMYFUNCTION("""COMPUTED_VALUE"""),"Bruneian")</f>
        <v>Bruneian</v>
      </c>
      <c r="L121" s="64" t="str">
        <f>IFERROR(__xludf.DUMMYFUNCTION("""COMPUTED_VALUE"""),"+6738617330")</f>
        <v>+6738617330</v>
      </c>
      <c r="M121" s="64">
        <f>IFERROR(__xludf.DUMMYFUNCTION("""COMPUTED_VALUE"""),33895.0)</f>
        <v>33895</v>
      </c>
      <c r="N121" s="61" t="str">
        <f>IFERROR(__xludf.DUMMYFUNCTION("""COMPUTED_VALUE"""),"C0732447")</f>
        <v>C0732447</v>
      </c>
      <c r="O121" s="61" t="str">
        <f>IFERROR(__xludf.DUMMYFUNCTION("""COMPUTED_VALUE"""),"+6738910518")</f>
        <v>+6738910518</v>
      </c>
      <c r="P121" s="65" t="str">
        <f>IFERROR(__xludf.DUMMYFUNCTION("""COMPUTED_VALUE"""),"https://www.linkedin.com/in/amir-hamzah-gafur/")</f>
        <v>https://www.linkedin.com/in/amir-hamzah-gafur/</v>
      </c>
      <c r="Q121" s="61"/>
      <c r="R121" s="61"/>
      <c r="S121" s="61" t="str">
        <f>IFERROR(__xludf.DUMMYFUNCTION("""COMPUTED_VALUE"""),"Passport Photo Scan.pdf")</f>
        <v>Passport Photo Scan.pdf</v>
      </c>
      <c r="T121" s="61" t="str">
        <f>IFERROR(__xludf.DUMMYFUNCTION("""COMPUTED_VALUE"""),"Passport Photo.jpg")</f>
        <v>Passport Photo.jpg</v>
      </c>
      <c r="U121" s="61" t="str">
        <f>IFERROR(__xludf.DUMMYFUNCTION("""COMPUTED_VALUE"""),"Bachelor")</f>
        <v>Bachelor</v>
      </c>
      <c r="V121" s="61" t="str">
        <f>IFERROR(__xludf.DUMMYFUNCTION("""COMPUTED_VALUE"""),"Bachelor Degree")</f>
        <v>Bachelor Degree</v>
      </c>
      <c r="W121" s="61" t="str">
        <f>IFERROR(__xludf.DUMMYFUNCTION("""COMPUTED_VALUE"""),"Business Management")</f>
        <v>Business Management</v>
      </c>
      <c r="X121" s="61" t="str">
        <f>IFERROR(__xludf.DUMMYFUNCTION("""COMPUTED_VALUE"""),"Chester University")</f>
        <v>Chester University</v>
      </c>
      <c r="Y121" s="61" t="str">
        <f>IFERROR(__xludf.DUMMYFUNCTION("""COMPUTED_VALUE"""),"No")</f>
        <v>No</v>
      </c>
      <c r="Z121" s="61" t="str">
        <f>IFERROR(__xludf.DUMMYFUNCTION("""COMPUTED_VALUE"""),"United Kingdom")</f>
        <v>United Kingdom</v>
      </c>
      <c r="AA121" s="61" t="str">
        <f>IFERROR(__xludf.DUMMYFUNCTION("""COMPUTED_VALUE"""),"No")</f>
        <v>No</v>
      </c>
      <c r="AB121" s="61"/>
      <c r="AC121" s="61" t="str">
        <f>IFERROR(__xludf.DUMMYFUNCTION("""COMPUTED_VALUE"""),"Yes")</f>
        <v>Yes</v>
      </c>
      <c r="AD121" s="61" t="str">
        <f>IFERROR(__xludf.DUMMYFUNCTION("""COMPUTED_VALUE"""),"Brunei Beach Bunch")</f>
        <v>Brunei Beach Bunch</v>
      </c>
      <c r="AE121" s="65" t="str">
        <f>IFERROR(__xludf.DUMMYFUNCTION("""COMPUTED_VALUE"""),"https://www.beachbunchbrunei.com/")</f>
        <v>https://www.beachbunchbrunei.com/</v>
      </c>
      <c r="AF121" s="61" t="str">
        <f>IFERROR(__xludf.DUMMYFUNCTION("""COMPUTED_VALUE"""),"Volunteer")</f>
        <v>Volunteer</v>
      </c>
      <c r="AG121" s="61" t="str">
        <f>IFERROR(__xludf.DUMMYFUNCTION("""COMPUTED_VALUE"""),"1")</f>
        <v>1</v>
      </c>
      <c r="AH121" s="61" t="str">
        <f>IFERROR(__xludf.DUMMYFUNCTION("""COMPUTED_VALUE"""),"Yes")</f>
        <v>Yes</v>
      </c>
      <c r="AI121" s="61" t="str">
        <f>IFERROR(__xludf.DUMMYFUNCTION("""COMPUTED_VALUE"""),"Tutor")</f>
        <v>Tutor</v>
      </c>
      <c r="AJ121" s="61" t="str">
        <f>IFERROR(__xludf.DUMMYFUNCTION("""COMPUTED_VALUE"""),"N/A")</f>
        <v>N/A</v>
      </c>
      <c r="AK121" s="61" t="str">
        <f>IFERROR(__xludf.DUMMYFUNCTION("""COMPUTED_VALUE"""),"N/A")</f>
        <v>N/A</v>
      </c>
      <c r="AL121" s="61" t="str">
        <f>IFERROR(__xludf.DUMMYFUNCTION("""COMPUTED_VALUE"""),"Customer Service")</f>
        <v>Customer Service</v>
      </c>
      <c r="AM121" s="61" t="str">
        <f>IFERROR(__xludf.DUMMYFUNCTION("""COMPUTED_VALUE"""),"Curriculum Vitae (CV).pdf")</f>
        <v>Curriculum Vitae (CV).pdf</v>
      </c>
      <c r="AN121" s="61" t="str">
        <f>IFERROR(__xludf.DUMMYFUNCTION("""COMPUTED_VALUE"""),"Yes, indeed. I think that significant change starts with simple, persistent efforts. In my own capacity, as a geography tutor, I educate and empower my students with world knowledge and act as their learning support in their studies. I strive to create an"&amp;" engaging environment where curiosity thrives, encouraging them to explore different cultures and geographical concepts. I have also volunteered at local events and contributed to community-building efforts, including cleaning our beaches with Brunei Beac"&amp;"h Bunch, for instance. With these interactive lessons and environment awareness campaigns, I hope these initiatives could make an impact on the world at least.")</f>
        <v>Yes, indeed. I think that significant change starts with simple, persistent efforts. In my own capacity, as a geography tutor, I educate and empower my students with world knowledge and act as their learning support in their studies. I strive to create an engaging environment where curiosity thrives, encouraging them to explore different cultures and geographical concepts. I have also volunteered at local events and contributed to community-building efforts, including cleaning our beaches with Brunei Beach Bunch, for instance. With these interactive lessons and environment awareness campaigns, I hope these initiatives could make an impact on the world at least.</v>
      </c>
      <c r="AO121" s="61" t="str">
        <f>IFERROR(__xludf.DUMMYFUNCTION("""COMPUTED_VALUE"""),"I think a country is considered diplomatically significant when it plays an important role in world affairs by maintaining good relationships and working closely with other nations. These countries help solve international problems, promote trade, and sup"&amp;"port peace and stability around the world. Countries like the United States often take part in major international negotiations and peace efforts for instance. Their decisions can influence the global economy, security, and environmental policies. A diplo"&amp;"matically significant country also works with international organizations to encourage cooperation and settle conflicts through peaceful discussion instead of the use of force.")</f>
        <v>I think a country is considered diplomatically significant when it plays an important role in world affairs by maintaining good relationships and working closely with other nations. These countries help solve international problems, promote trade, and support peace and stability around the world. Countries like the United States often take part in major international negotiations and peace efforts for instance. Their decisions can influence the global economy, security, and environmental policies. A diplomatically significant country also works with international organizations to encourage cooperation and settle conflicts through peaceful discussion instead of the use of force.</v>
      </c>
      <c r="AP121" s="61" t="str">
        <f>IFERROR(__xludf.DUMMYFUNCTION("""COMPUTED_VALUE"""),"In my opinion, youth serves a crucial role in diplomacy by bringing fresh ideas, innovation, and a global perspective to international engagement. This is because young people can transcend cultures, promote communication, and tackle global issues like cl"&amp;"imate change, education, and sustainable development because they are the generation most connected by technology and social media. In addition, they excel in fostering understanding and collaboration because of their capacity to establish connections wit"&amp;"h a variety of cultures.
I can truly relate to the idea of public diplomacy because I think that interpersonal interactions are just as important in fostering meaningful international relations as governments. My education, leadership experiences, and pa"&amp;"rticipation in community projects have taught me the value of cooperation, cultural sensitivity, and effective communication. I like interacting with people from all backgrounds, and I think that listening, appreciating different viewpoints, and exchangin"&amp;"g ideas may promote trust and more solid international ties.
As a young Bruneian, I hope to contribute by representing my country Brunei Darussalam with professionalism, openness, and integrity. Whether through cultural exchanges, volunteer work, or inte"&amp;"rnational programs, I want to help strengthen Brunei's global presence while learning from others. I believe youth have the energy, adaptability, and commitment needed to shape a more peaceful and cooperative world.")</f>
        <v>In my opinion, youth serves a crucial role in diplomacy by bringing fresh ideas, innovation, and a global perspective to international engagement. This is because young people can transcend cultures, promote communication, and tackle global issues like climate change, education, and sustainable development because they are the generation most connected by technology and social media. In addition, they excel in fostering understanding and collaboration because of their capacity to establish connections with a variety of cultures.
I can truly relate to the idea of public diplomacy because I think that interpersonal interactions are just as important in fostering meaningful international relations as governments. My education, leadership experiences, and participation in community projects have taught me the value of cooperation, cultural sensitivity, and effective communication. I like interacting with people from all backgrounds, and I think that listening, appreciating different viewpoints, and exchanging ideas may promote trust and more solid international ties.
As a young Bruneian, I hope to contribute by representing my country Brunei Darussalam with professionalism, openness, and integrity. Whether through cultural exchanges, volunteer work, or international programs, I want to help strengthen Brunei's global presence while learning from others. I believe youth have the energy, adaptability, and commitment needed to shape a more peaceful and cooperative world.</v>
      </c>
      <c r="AQ121" s="61" t="str">
        <f>IFERROR(__xludf.DUMMYFUNCTION("""COMPUTED_VALUE"""),"In my own understanding, passion is something that inspires a person to pursue meaningful goals with dedication, resilience and a willingness to keep learning. The progress could take time, but as long as the person is committed to it, I believe it could "&amp;"boost his or her motivation to overcome any obstacles. 
I am passionate about building connections, understanding different perspectives, and contributing to meaningful conversation. Thus, I believe diplomacy is about building trust, cooperation, and mut"&amp;"ual respect between people and nations. 
This passion motivates me to continuously develop my communication, leadership, and intercultural skills by attending various workshops and events in my local community. My staunch dedication to strengthening my s"&amp;"kills has eventually led me to achieve my goals, such as the opportunity to participate in exchange programs abroad for an example. Thus, I have learned that being passionate can act as a powerful catalyst to fuel someone's drive and focus and help in ove"&amp;"rcoming challenges.
To this day, I am still passionate and aspire to represent my country with integrity and professionalism. I am motivated to seek opportunities that would broaden my global outlook and deepen my understanding of international issues. W"&amp;"ith this genuine curiosity and desire to serve others, I hope to contribute positively to public diplomacy events, such as the Young Public Diplomacy Summit 2026 event in Indonesia. It is my ultimate goal to strengthen relationships that promote peace, co"&amp;"llaboration, and shared progress.")</f>
        <v>In my own understanding, passion is something that inspires a person to pursue meaningful goals with dedication, resilience and a willingness to keep learning. The progress could take time, but as long as the person is committed to it, I believe it could boost his or her motivation to overcome any obstacles. 
I am passionate about building connections, understanding different perspectives, and contributing to meaningful conversation. Thus, I believe diplomacy is about building trust, cooperation, and mutual respect between people and nations. 
This passion motivates me to continuously develop my communication, leadership, and intercultural skills by attending various workshops and events in my local community. My staunch dedication to strengthening my skills has eventually led me to achieve my goals, such as the opportunity to participate in exchange programs abroad for an example. Thus, I have learned that being passionate can act as a powerful catalyst to fuel someone's drive and focus and help in overcoming challenges.
To this day, I am still passionate and aspire to represent my country with integrity and professionalism. I am motivated to seek opportunities that would broaden my global outlook and deepen my understanding of international issues. With this genuine curiosity and desire to serve others, I hope to contribute positively to public diplomacy events, such as the Young Public Diplomacy Summit 2026 event in Indonesia. It is my ultimate goal to strengthen relationships that promote peace, collaboration, and shared progress.</v>
      </c>
      <c r="AR121" s="61" t="str">
        <f>IFERROR(__xludf.DUMMYFUNCTION("""COMPUTED_VALUE"""),"I am a creative person in a psychological sense, where I am able to think out of the box and relay messages in the most inspiring and engaging ways. To share ideas, solve problems and connect with people, I would do storytelling, visual presentations, cul"&amp;"tural interactions and team-building activities to share Brunei's values, history and cultural traditions as part of my effective public diplomacy strategy. A two-way street of mutual trust and understanding needs to be established as well by listening to"&amp;" and taking input on their different perspectives for the sake of strengthening relationships among countries. Moreover, I also believe that by appropriately using social media and interactive platforms, diplomacy may reach out to younger generations and "&amp;"promote cross-cultural conversation as a result.
As someone who appreciates learning from others and engaging with people from various backgrounds, I feel I can provide new insights while staying culturally sensitive. With the combinations of my creativi"&amp;"ty, empathy, strategic communication and genuine engagement, I wish to contribute to public diplomacy activities that promote mutual understanding, collaboration, and a favorable image of Brunei on the international arena.")</f>
        <v>I am a creative person in a psychological sense, where I am able to think out of the box and relay messages in the most inspiring and engaging ways. To share ideas, solve problems and connect with people, I would do storytelling, visual presentations, cultural interactions and team-building activities to share Brunei's values, history and cultural traditions as part of my effective public diplomacy strategy. A two-way street of mutual trust and understanding needs to be established as well by listening to and taking input on their different perspectives for the sake of strengthening relationships among countries. Moreover, I also believe that by appropriately using social media and interactive platforms, diplomacy may reach out to younger generations and promote cross-cultural conversation as a result.
As someone who appreciates learning from others and engaging with people from various backgrounds, I feel I can provide new insights while staying culturally sensitive. With the combinations of my creativity, empathy, strategic communication and genuine engagement, I wish to contribute to public diplomacy activities that promote mutual understanding, collaboration, and a favorable image of Brunei on the international arena.</v>
      </c>
      <c r="AS121" s="61" t="str">
        <f>IFERROR(__xludf.DUMMYFUNCTION("""COMPUTED_VALUE"""),"Yes")</f>
        <v>Yes</v>
      </c>
      <c r="AT121" s="61" t="str">
        <f>IFERROR(__xludf.DUMMYFUNCTION("""COMPUTED_VALUE"""),"Yes")</f>
        <v>Yes</v>
      </c>
      <c r="AU121" s="61" t="str">
        <f>IFERROR(__xludf.DUMMYFUNCTION("""COMPUTED_VALUE"""),"Strategy, Peace &amp; Cultural Diplomacy")</f>
        <v>Strategy, Peace &amp; Cultural Diplomacy</v>
      </c>
      <c r="AV121" s="61" t="str">
        <f>IFERROR(__xludf.DUMMYFUNCTION("""COMPUTED_VALUE"""),"Instagram")</f>
        <v>Instagram</v>
      </c>
      <c r="AW121" s="61" t="str">
        <f>IFERROR(__xludf.DUMMYFUNCTION("""COMPUTED_VALUE"""),"Public Diplomacy")</f>
        <v>Public Diplomacy</v>
      </c>
      <c r="AX121" s="66" t="str">
        <f>IFERROR(__xludf.DUMMYFUNCTION("""COMPUTED_VALUE"""),"Yes")</f>
        <v>Yes</v>
      </c>
      <c r="AY121" s="66">
        <f>IFERROR(__xludf.DUMMYFUNCTION("""COMPUTED_VALUE"""),15.99)</f>
        <v>15.99</v>
      </c>
      <c r="AZ121" s="61"/>
      <c r="BA121" s="61"/>
      <c r="BB121" s="61"/>
      <c r="BC121" s="61"/>
      <c r="BD121" s="61"/>
      <c r="BE121" s="61"/>
      <c r="BF121" s="61"/>
      <c r="BG121" s="61"/>
      <c r="BH121" s="61"/>
      <c r="BI121" s="61"/>
      <c r="BJ121" s="61"/>
      <c r="BK121" s="61"/>
      <c r="BL121" s="61"/>
      <c r="BM121" s="61"/>
      <c r="BN121" s="61"/>
      <c r="BO121" s="61"/>
      <c r="BP121" s="61"/>
      <c r="BQ121" s="61"/>
      <c r="BR121" s="61"/>
    </row>
    <row r="122" ht="15.75" customHeight="1">
      <c r="A122" s="61" t="str">
        <f>IFERROR(__xludf.DUMMYFUNCTION("""COMPUTED_VALUE"""),"Self")</f>
        <v>Self</v>
      </c>
      <c r="B122" s="62">
        <f>IFERROR(__xludf.DUMMYFUNCTION("""COMPUTED_VALUE"""),143.0)</f>
        <v>143</v>
      </c>
      <c r="C122" s="61" t="str">
        <f>IFERROR(__xludf.DUMMYFUNCTION("""COMPUTED_VALUE"""),"Self")</f>
        <v>Self</v>
      </c>
      <c r="D122" s="63" t="str">
        <f>IFERROR(__xludf.DUMMYFUNCTION("""COMPUTED_VALUE"""),"Submitted")</f>
        <v>Submitted</v>
      </c>
      <c r="E122" s="63">
        <f>IFERROR(__xludf.DUMMYFUNCTION("""COMPUTED_VALUE"""),46208.875)</f>
        <v>46208.875</v>
      </c>
      <c r="F122" s="61" t="str">
        <f>IFERROR(__xludf.DUMMYFUNCTION("""COMPUTED_VALUE"""),"XUE LI")</f>
        <v>XUE LI</v>
      </c>
      <c r="G122" s="61" t="str">
        <f>IFERROR(__xludf.DUMMYFUNCTION("""COMPUTED_VALUE"""),"XUE LI")</f>
        <v>XUE LI</v>
      </c>
      <c r="H122" s="61" t="str">
        <f>IFERROR(__xludf.DUMMYFUNCTION("""COMPUTED_VALUE"""),"18809880669@163.com")</f>
        <v>18809880669@163.com</v>
      </c>
      <c r="I122" s="61" t="str">
        <f>IFERROR(__xludf.DUMMYFUNCTION("""COMPUTED_VALUE"""),"1098938292@qq.com")</f>
        <v>1098938292@qq.com</v>
      </c>
      <c r="J122" s="61"/>
      <c r="K122" s="61" t="str">
        <f>IFERROR(__xludf.DUMMYFUNCTION("""COMPUTED_VALUE"""),"Chinese")</f>
        <v>Chinese</v>
      </c>
      <c r="L122" s="64" t="str">
        <f>IFERROR(__xludf.DUMMYFUNCTION("""COMPUTED_VALUE"""),"+8618809880669")</f>
        <v>+8618809880669</v>
      </c>
      <c r="M122" s="64">
        <f>IFERROR(__xludf.DUMMYFUNCTION("""COMPUTED_VALUE"""),33395.0)</f>
        <v>33395</v>
      </c>
      <c r="N122" s="61" t="str">
        <f>IFERROR(__xludf.DUMMYFUNCTION("""COMPUTED_VALUE"""),"EC3175075")</f>
        <v>EC3175075</v>
      </c>
      <c r="O122" s="61" t="str">
        <f>IFERROR(__xludf.DUMMYFUNCTION("""COMPUTED_VALUE"""),"+8613718876991")</f>
        <v>+8613718876991</v>
      </c>
      <c r="P122" s="61"/>
      <c r="Q122" s="61"/>
      <c r="R122" s="61"/>
      <c r="S122" s="61" t="str">
        <f>IFERROR(__xludf.DUMMYFUNCTION("""COMPUTED_VALUE"""),"Profile Photo - XUE LI.jpeg")</f>
        <v>Profile Photo - XUE LI.jpeg</v>
      </c>
      <c r="T122" s="61" t="str">
        <f>IFERROR(__xludf.DUMMYFUNCTION("""COMPUTED_VALUE"""),"Profile Photo - XUE LI.jpeg")</f>
        <v>Profile Photo - XUE LI.jpeg</v>
      </c>
      <c r="U122" s="61" t="str">
        <f>IFERROR(__xludf.DUMMYFUNCTION("""COMPUTED_VALUE"""),"Bechalor")</f>
        <v>Bechalor</v>
      </c>
      <c r="V122" s="61" t="str">
        <f>IFERROR(__xludf.DUMMYFUNCTION("""COMPUTED_VALUE"""),"A")</f>
        <v>A</v>
      </c>
      <c r="W122" s="61"/>
      <c r="X122" s="61" t="str">
        <f>IFERROR(__xludf.DUMMYFUNCTION("""COMPUTED_VALUE"""),"Shenyang Areospace University")</f>
        <v>Shenyang Areospace University</v>
      </c>
      <c r="Y122" s="61" t="str">
        <f>IFERROR(__xludf.DUMMYFUNCTION("""COMPUTED_VALUE"""),"Yes")</f>
        <v>Yes</v>
      </c>
      <c r="Z122" s="61" t="str">
        <f>IFERROR(__xludf.DUMMYFUNCTION("""COMPUTED_VALUE"""),"China")</f>
        <v>China</v>
      </c>
      <c r="AA122" s="61" t="str">
        <f>IFERROR(__xludf.DUMMYFUNCTION("""COMPUTED_VALUE"""),"No")</f>
        <v>No</v>
      </c>
      <c r="AB122" s="61"/>
      <c r="AC122" s="61"/>
      <c r="AD122" s="61" t="str">
        <f>IFERROR(__xludf.DUMMYFUNCTION("""COMPUTED_VALUE"""),"Shenyang Green Window Volunteer")</f>
        <v>Shenyang Green Window Volunteer</v>
      </c>
      <c r="AE122" s="61"/>
      <c r="AF122" s="61" t="str">
        <f>IFERROR(__xludf.DUMMYFUNCTION("""COMPUTED_VALUE"""),"Volunteer")</f>
        <v>Volunteer</v>
      </c>
      <c r="AG122" s="61" t="str">
        <f>IFERROR(__xludf.DUMMYFUNCTION("""COMPUTED_VALUE"""),"1 year")</f>
        <v>1 year</v>
      </c>
      <c r="AH122" s="61" t="str">
        <f>IFERROR(__xludf.DUMMYFUNCTION("""COMPUTED_VALUE"""),"No")</f>
        <v>No</v>
      </c>
      <c r="AI122" s="61"/>
      <c r="AJ122" s="61"/>
      <c r="AK122" s="61"/>
      <c r="AL122" s="61"/>
      <c r="AM122" s="61" t="str">
        <f>IFERROR(__xludf.DUMMYFUNCTION("""COMPUTED_VALUE"""),"XUE LI CV.pdf")</f>
        <v>XUE LI CV.pdf</v>
      </c>
      <c r="AN122" s="61" t="str">
        <f>IFERROR(__xludf.DUMMYFUNCTION("""COMPUTED_VALUE"""),"Yes. I focused on changing how people handle risk. When generative AI spread, I saw colleagues unintentionally exposing sensitive data to public tools. Instead of just banning usage, I took personal action to bridge the policy gap. I developed training ma"&amp;"terials, ran sessions for over 50 colleagues, and maintained a feedback loop to fix system glitches. This grassroots effort transformed our internal AI adoption from 20% to 75% and improved forecast accuracy by 30%. I believe changing the world starts wit"&amp;"h changing workplace habits—ensuring that as technology advances, we build a culture of security and trust from the ground up.")</f>
        <v>Yes. I focused on changing how people handle risk. When generative AI spread, I saw colleagues unintentionally exposing sensitive data to public tools. Instead of just banning usage, I took personal action to bridge the policy gap. I developed training materials, ran sessions for over 50 colleagues, and maintained a feedback loop to fix system glitches. This grassroots effort transformed our internal AI adoption from 20% to 75% and improved forecast accuracy by 30%. I believe changing the world starts with changing workplace habits—ensuring that as technology advances, we build a culture of security and trust from the ground up.</v>
      </c>
      <c r="AO122" s="61" t="str">
        <f>IFERROR(__xludf.DUMMYFUNCTION("""COMPUTED_VALUE"""),"China is the most diplomatically significant country today. Its role as a global manufacturing hub and its regulatory experiments with AI governance create ripple effects worldwide. As a practitioner in China, I see how its policies—such as the 2023 Inter"&amp;"im Measures for AI—shape global standards. However, its diplomatic significance also lies in its tensions: the friction between the U.S. CLOUD Act and China's Data Security Law highlights the urgent need for global dialogue. China’s actions force the worl"&amp;"d to negotiate new frameworks for technology and data, making it indispensable in modern diplomacy.")</f>
        <v>China is the most diplomatically significant country today. Its role as a global manufacturing hub and its regulatory experiments with AI governance create ripple effects worldwide. As a practitioner in China, I see how its policies—such as the 2023 Interim Measures for AI—shape global standards. However, its diplomatic significance also lies in its tensions: the friction between the U.S. CLOUD Act and China's Data Security Law highlights the urgent need for global dialogue. China’s actions force the world to negotiate new frameworks for technology and data, making it indispensable in modern diplomacy.</v>
      </c>
      <c r="AP122" s="61" t="str">
        <f>IFERROR(__xludf.DUMMYFUNCTION("""COMPUTED_VALUE"""),"The youth’s role in diplomacy is to translate. Not just languages, but translating abstract policies into everyday reality, and translating cross-cultural nuances into actionable trust. We are the generation that moves between physical borders and digital"&amp;" ecosystems, and our role is to ensure that technology serves human connection rather than dividing it.
I relate to public diplomacy through my work on AI governance. When I train colleagues or moderate roundtables, I am practicing a form of public diplo"&amp;"macy—building understanding across different stakeholders. I navigate the tensions between Chinese regulations and U.S. legal frameworks, and I see how data flows become a diplomatic frontier. My role is to demystify these tensions for practitioners and t"&amp;"o find common ground in a polarized environment.
Public diplomacy, to me, is not just about state-to-state relations. It is about building networks of trust between people who face similar challenges under different legal systems. As a young professional"&amp;", I bring the energy to bridge these gaps and the humility to learn from global peers. We, the youth, are not just future leaders—we are present translators of complexity, building bridges where walls could otherwise be built.")</f>
        <v>The youth’s role in diplomacy is to translate. Not just languages, but translating abstract policies into everyday reality, and translating cross-cultural nuances into actionable trust. We are the generation that moves between physical borders and digital ecosystems, and our role is to ensure that technology serves human connection rather than dividing it.
I relate to public diplomacy through my work on AI governance. When I train colleagues or moderate roundtables, I am practicing a form of public diplomacy—building understanding across different stakeholders. I navigate the tensions between Chinese regulations and U.S. legal frameworks, and I see how data flows become a diplomatic frontier. My role is to demystify these tensions for practitioners and to find common ground in a polarized environment.
Public diplomacy, to me, is not just about state-to-state relations. It is about building networks of trust between people who face similar challenges under different legal systems. As a young professional, I bring the energy to bridge these gaps and the humility to learn from global peers. We, the youth, are not just future leaders—we are present translators of complexity, building bridges where walls could otherwise be built.</v>
      </c>
      <c r="AQ122" s="61" t="str">
        <f>IFERROR(__xludf.DUMMYFUNCTION("""COMPUTED_VALUE"""),"Passion is the quiet persistence to solve problems that others accept as inevitable. When I saw small businesses left behind by AI regulation, I felt a deep responsibility to act—not because it was my job, but because I believe technology should not widen"&amp;" inequality.
Passion helps me by sustaining curiosity. It turns barriers into puzzles to solve, rather than obstacles to avoid. When colleagues were reluctant to adopt secure AI tools, passion kept me patient—running trainings, gathering feedback, and it"&amp;"erating. It made me see the human stories behind compliance statistics.
Passion also grounds my goals in service. I do not aim to create perfect frameworks; I aim to create usable ones. It gives me the courage to ask difficult questions and the empathy t"&amp;"o listen to the answers. Ultimately, passion turns ambition into action, and action into impact.")</f>
        <v>Passion is the quiet persistence to solve problems that others accept as inevitable. When I saw small businesses left behind by AI regulation, I felt a deep responsibility to act—not because it was my job, but because I believe technology should not widen inequality.
Passion helps me by sustaining curiosity. It turns barriers into puzzles to solve, rather than obstacles to avoid. When colleagues were reluctant to adopt secure AI tools, passion kept me patient—running trainings, gathering feedback, and iterating. It made me see the human stories behind compliance statistics.
Passion also grounds my goals in service. I do not aim to create perfect frameworks; I aim to create usable ones. It gives me the courage to ask difficult questions and the empathy to listen to the answers. Ultimately, passion turns ambition into action, and action into impact.</v>
      </c>
      <c r="AR122" s="61" t="str">
        <f>IFERROR(__xludf.DUMMYFUNCTION("""COMPUTED_VALUE"""),"Yes, creativity is at the core of my work. When employees bypassed security protocols to use public AI tools, I creatively reframed the issue—not as a rule-breaking problem, but as a design problem. I translated dense compliance documents into relatable c"&amp;"ase studies, built a feedback mechanism that empowered users, and turned frustration into collaboration.
For public diplomacy, creativity means designing bridges rather than fences. I propose a strategy focused on ""narrative prototyping""—using simulate"&amp;"d cross-border scenarios to train youth diplomats. Instead of static policy briefs, we could create interactive workshops where participants negotiate data-sharing agreements in real-time, experiencing the friction between different legal systems first-ha"&amp;"nd.
Creativity also means translating technical issues into human stories. As a moderator, I use storytelling to make complex regulatory shifts accessible to non-experts. In public diplomacy, this approach can break through cultural barriers, fostering e"&amp;"mpathy and mutual understanding.
Ultimately, creativity turns diplomacy from a top-down exercise into a participatory practice. It allows youth to envision new frameworks and test them in safe spaces, building resilience and adaptability for the complex "&amp;"world ahead.")</f>
        <v>Yes, creativity is at the core of my work. When employees bypassed security protocols to use public AI tools, I creatively reframed the issue—not as a rule-breaking problem, but as a design problem. I translated dense compliance documents into relatable case studies, built a feedback mechanism that empowered users, and turned frustration into collaboration.
For public diplomacy, creativity means designing bridges rather than fences. I propose a strategy focused on "narrative prototyping"—using simulated cross-border scenarios to train youth diplomats. Instead of static policy briefs, we could create interactive workshops where participants negotiate data-sharing agreements in real-time, experiencing the friction between different legal systems first-hand.
Creativity also means translating technical issues into human stories. As a moderator, I use storytelling to make complex regulatory shifts accessible to non-experts. In public diplomacy, this approach can break through cultural barriers, fostering empathy and mutual understanding.
Ultimately, creativity turns diplomacy from a top-down exercise into a participatory practice. It allows youth to envision new frameworks and test them in safe spaces, building resilience and adaptability for the complex world ahead.</v>
      </c>
      <c r="AS122" s="61" t="str">
        <f>IFERROR(__xludf.DUMMYFUNCTION("""COMPUTED_VALUE"""),"Yes")</f>
        <v>Yes</v>
      </c>
      <c r="AT122" s="61" t="str">
        <f>IFERROR(__xludf.DUMMYFUNCTION("""COMPUTED_VALUE"""),"Yes")</f>
        <v>Yes</v>
      </c>
      <c r="AU122" s="61" t="str">
        <f>IFERROR(__xludf.DUMMYFUNCTION("""COMPUTED_VALUE"""),"Global Politics, Diplomacy &amp; Identities")</f>
        <v>Global Politics, Diplomacy &amp; Identities</v>
      </c>
      <c r="AV122" s="61" t="str">
        <f>IFERROR(__xludf.DUMMYFUNCTION("""COMPUTED_VALUE"""),"friend referred")</f>
        <v>friend referred</v>
      </c>
      <c r="AW122" s="61"/>
      <c r="AX122" s="66" t="str">
        <f>IFERROR(__xludf.DUMMYFUNCTION("""COMPUTED_VALUE"""),"Yes")</f>
        <v>Yes</v>
      </c>
      <c r="AY122" s="66">
        <f>IFERROR(__xludf.DUMMYFUNCTION("""COMPUTED_VALUE"""),15.99)</f>
        <v>15.99</v>
      </c>
      <c r="AZ122" s="61"/>
      <c r="BA122" s="61"/>
      <c r="BB122" s="61"/>
      <c r="BC122" s="61"/>
      <c r="BD122" s="61"/>
      <c r="BE122" s="61"/>
      <c r="BF122" s="61"/>
      <c r="BG122" s="61"/>
      <c r="BH122" s="61"/>
      <c r="BI122" s="61"/>
      <c r="BJ122" s="61"/>
      <c r="BK122" s="61"/>
      <c r="BL122" s="61"/>
      <c r="BM122" s="61"/>
      <c r="BN122" s="61"/>
      <c r="BO122" s="61"/>
      <c r="BP122" s="61"/>
      <c r="BQ122" s="61"/>
      <c r="BR122" s="61"/>
    </row>
    <row r="123" ht="15.75" customHeight="1">
      <c r="A123" s="61" t="str">
        <f>IFERROR(__xludf.DUMMYFUNCTION("""COMPUTED_VALUE"""),"Self")</f>
        <v>Self</v>
      </c>
      <c r="B123" s="62">
        <f>IFERROR(__xludf.DUMMYFUNCTION("""COMPUTED_VALUE"""),144.0)</f>
        <v>144</v>
      </c>
      <c r="C123" s="61" t="str">
        <f>IFERROR(__xludf.DUMMYFUNCTION("""COMPUTED_VALUE"""),"Self")</f>
        <v>Self</v>
      </c>
      <c r="D123" s="63" t="str">
        <f>IFERROR(__xludf.DUMMYFUNCTION("""COMPUTED_VALUE"""),"Submitted")</f>
        <v>Submitted</v>
      </c>
      <c r="E123" s="63">
        <f>IFERROR(__xludf.DUMMYFUNCTION("""COMPUTED_VALUE"""),46208.87847222222)</f>
        <v>46208.87847</v>
      </c>
      <c r="F123" s="61" t="str">
        <f>IFERROR(__xludf.DUMMYFUNCTION("""COMPUTED_VALUE"""),"Thaksin XAYALATH")</f>
        <v>Thaksin XAYALATH</v>
      </c>
      <c r="G123" s="61" t="str">
        <f>IFERROR(__xludf.DUMMYFUNCTION("""COMPUTED_VALUE"""),"Thaksin XAYALATH")</f>
        <v>Thaksin XAYALATH</v>
      </c>
      <c r="H123" s="61" t="str">
        <f>IFERROR(__xludf.DUMMYFUNCTION("""COMPUTED_VALUE"""),"jojoths92@gmail.com")</f>
        <v>jojoths92@gmail.com</v>
      </c>
      <c r="I123" s="61" t="str">
        <f>IFERROR(__xludf.DUMMYFUNCTION("""COMPUTED_VALUE"""),"xayalaththaksin@gmail.com")</f>
        <v>xayalaththaksin@gmail.com</v>
      </c>
      <c r="J123" s="61" t="str">
        <f>IFERROR(__xludf.DUMMYFUNCTION("""COMPUTED_VALUE"""),"109 house number, Phon Village, ThaLat street, Phon Hong district, Vieng Chan Province, Lao, People's Democratic Republic")</f>
        <v>109 house number, Phon Village, ThaLat street, Phon Hong district, Vieng Chan Province, Lao, People's Democratic Republic</v>
      </c>
      <c r="K123" s="61" t="str">
        <f>IFERROR(__xludf.DUMMYFUNCTION("""COMPUTED_VALUE"""),"lao")</f>
        <v>lao</v>
      </c>
      <c r="L123" s="64" t="str">
        <f>IFERROR(__xludf.DUMMYFUNCTION("""COMPUTED_VALUE"""),"+84813013432 ( vietnam ) , +8562055261514 (laos)")</f>
        <v>+84813013432 ( vietnam ) , +8562055261514 (laos)</v>
      </c>
      <c r="M123" s="64">
        <f>IFERROR(__xludf.DUMMYFUNCTION("""COMPUTED_VALUE"""),38402.0)</f>
        <v>38402</v>
      </c>
      <c r="N123" s="61" t="str">
        <f>IFERROR(__xludf.DUMMYFUNCTION("""COMPUTED_VALUE"""),"P2403218")</f>
        <v>P2403218</v>
      </c>
      <c r="O123" s="61" t="str">
        <f>IFERROR(__xludf.DUMMYFUNCTION("""COMPUTED_VALUE"""),"+84813013432 ( vietnam )")</f>
        <v>+84813013432 ( vietnam )</v>
      </c>
      <c r="P123" s="61"/>
      <c r="Q123" s="61" t="str">
        <f>IFERROR(__xludf.DUMMYFUNCTION("""COMPUTED_VALUE"""),"jojo_ths")</f>
        <v>jojo_ths</v>
      </c>
      <c r="R123" s="61" t="str">
        <f>IFERROR(__xludf.DUMMYFUNCTION("""COMPUTED_VALUE"""),"Jojoths")</f>
        <v>Jojoths</v>
      </c>
      <c r="S123" s="61" t="str">
        <f>IFERROR(__xludf.DUMMYFUNCTION("""COMPUTED_VALUE"""),"Passport.pdf")</f>
        <v>Passport.pdf</v>
      </c>
      <c r="T123" s="61" t="str">
        <f>IFERROR(__xludf.DUMMYFUNCTION("""COMPUTED_VALUE"""),"PVD01880.JPG")</f>
        <v>PVD01880.JPG</v>
      </c>
      <c r="U123" s="61" t="str">
        <f>IFERROR(__xludf.DUMMYFUNCTION("""COMPUTED_VALUE"""),"bachelor's")</f>
        <v>bachelor's</v>
      </c>
      <c r="V123" s="61" t="str">
        <f>IFERROR(__xludf.DUMMYFUNCTION("""COMPUTED_VALUE"""),"Bachelor Business Administration")</f>
        <v>Bachelor Business Administration</v>
      </c>
      <c r="W123" s="61" t="str">
        <f>IFERROR(__xludf.DUMMYFUNCTION("""COMPUTED_VALUE"""),"business Administration( High Quality program)")</f>
        <v>business Administration( High Quality program)</v>
      </c>
      <c r="X123" s="61" t="str">
        <f>IFERROR(__xludf.DUMMYFUNCTION("""COMPUTED_VALUE"""),"Vinh University")</f>
        <v>Vinh University</v>
      </c>
      <c r="Y123" s="61" t="str">
        <f>IFERROR(__xludf.DUMMYFUNCTION("""COMPUTED_VALUE"""),"Yes")</f>
        <v>Yes</v>
      </c>
      <c r="Z123" s="61" t="str">
        <f>IFERROR(__xludf.DUMMYFUNCTION("""COMPUTED_VALUE"""),"Vietnam")</f>
        <v>Vietnam</v>
      </c>
      <c r="AA123" s="61" t="str">
        <f>IFERROR(__xludf.DUMMYFUNCTION("""COMPUTED_VALUE"""),"No")</f>
        <v>No</v>
      </c>
      <c r="AB123" s="61"/>
      <c r="AC123" s="61" t="str">
        <f>IFERROR(__xludf.DUMMYFUNCTION("""COMPUTED_VALUE"""),"Yes. Through my Business Administration program, I have completed several academic projects involving literature review, survey data collection, data analysis, and report writing. These experiences have helped me develop basic research and critical thinki"&amp;"ng skills.")</f>
        <v>Yes. Through my Business Administration program, I have completed several academic projects involving literature review, survey data collection, data analysis, and report writing. These experiences have helped me develop basic research and critical thinking skills.</v>
      </c>
      <c r="AD123" s="61" t="str">
        <f>IFERROR(__xludf.DUMMYFUNCTION("""COMPUTED_VALUE"""),"1. From 2020 to 2022, while studying at the Youth Development Center of Vientiane Province in Laos, I volunteered as an English teacher for younger Lao students.  2.Since my first year at Vinh University, I have been an active member of the Lao Students A"&amp;"ssociation. I currently serve as the President of the Association, where I organize cultural events, support Lao students, coordinate with university departments, and promote friendship between Lao and Vietnamese students. 3,  In the summer of 2024, I joi"&amp;"ned the Vinh University Summer Volunteer Campaign as the leader of a volunteer team in Xieng Khouang Province, Laos. For one month, my team taught Vietnamese to Lao students and organized educational and cultural activities. 4.This summer 2026, I am still"&amp;" volunteering in a campaign in Xieng Khoang Province, Laos, for one month.")</f>
        <v>1. From 2020 to 2022, while studying at the Youth Development Center of Vientiane Province in Laos, I volunteered as an English teacher for younger Lao students.  2.Since my first year at Vinh University, I have been an active member of the Lao Students Association. I currently serve as the President of the Association, where I organize cultural events, support Lao students, coordinate with university departments, and promote friendship between Lao and Vietnamese students. 3,  In the summer of 2024, I joined the Vinh University Summer Volunteer Campaign as the leader of a volunteer team in Xieng Khouang Province, Laos. For one month, my team taught Vietnamese to Lao students and organized educational and cultural activities. 4.This summer 2026, I am still volunteering in a campaign in Xieng Khoang Province, Laos, for one month.</v>
      </c>
      <c r="AE123" s="65" t="str">
        <f>IFERROR(__xludf.DUMMYFUNCTION("""COMPUTED_VALUE"""),"https://baonghean.vn")</f>
        <v>https://baonghean.vn</v>
      </c>
      <c r="AF123" s="61" t="str">
        <f>IFERROR(__xludf.DUMMYFUNCTION("""COMPUTED_VALUE"""),"President of the Lao Students Association")</f>
        <v>President of the Lao Students Association</v>
      </c>
      <c r="AG123" s="61" t="str">
        <f>IFERROR(__xludf.DUMMYFUNCTION("""COMPUTED_VALUE"""),"3")</f>
        <v>3</v>
      </c>
      <c r="AH123" s="61" t="str">
        <f>IFERROR(__xludf.DUMMYFUNCTION("""COMPUTED_VALUE"""),"No")</f>
        <v>No</v>
      </c>
      <c r="AI123" s="61"/>
      <c r="AJ123" s="61"/>
      <c r="AK123" s="61"/>
      <c r="AL123" s="61" t="str">
        <f>IFERROR(__xludf.DUMMYFUNCTION("""COMPUTED_VALUE"""),"Leadership, Public Speaking, Event Management, Project Coordination, Cross-Cultural Communication, Teamwork, Volunteer Management, Community Engagement, Microsoft Office, English Communication.")</f>
        <v>Leadership, Public Speaking, Event Management, Project Coordination, Cross-Cultural Communication, Teamwork, Volunteer Management, Community Engagement, Microsoft Office, English Communication.</v>
      </c>
      <c r="AM123" s="61" t="str">
        <f>IFERROR(__xludf.DUMMYFUNCTION("""COMPUTED_VALUE"""),"thaksin.pdf")</f>
        <v>thaksin.pdf</v>
      </c>
      <c r="AN123" s="61" t="str">
        <f>IFERROR(__xludf.DUMMYFUNCTION("""COMPUTED_VALUE"""),"Yes, I have always believed that meaningful change begins with small actions taken consistently. In my personal capacity, I have tried to make an impact by supporting student activities, encouraging cross-cultural understanding, and helping create spaces "&amp;"where young people can share ideas and lead together. As a student leader, I have worked to connect people from different backgrounds and promote collaboration through events and community initiatives. I also believe that service matters in everyday life,"&amp;" so I try to listen, support others, and contribute positively wherever I am. For me, changing the world starts with building trust, inspiring responsibility, and making a difference in one community at a time.")</f>
        <v>Yes, I have always believed that meaningful change begins with small actions taken consistently. In my personal capacity, I have tried to make an impact by supporting student activities, encouraging cross-cultural understanding, and helping create spaces where young people can share ideas and lead together. As a student leader, I have worked to connect people from different backgrounds and promote collaboration through events and community initiatives. I also believe that service matters in everyday life, so I try to listen, support others, and contribute positively wherever I am. For me, changing the world starts with building trust, inspiring responsibility, and making a difference in one community at a time.</v>
      </c>
      <c r="AO123" s="61" t="str">
        <f>IFERROR(__xludf.DUMMYFUNCTION("""COMPUTED_VALUE"""),"I believe Indonesia is one of the world's most diplomatically important countries. As a Lao student in Vietnam, I admire how Indonesia, despite its diversity, speaks with a unified voice globally. Indonesia plays an important role in ASEAN, also as a brid"&amp;"ge between different cultures and political perspectives. Its leadership in hosting ASEAN Summits and its active participation in the G20 show its strong commitment to dialogue, cooperation, and peace.
What I find most impressive is Indonesia's voice in r"&amp;"epresenting the Global South, especially in areas like climate change, sustainable development, and youth empowerment.
To me, Indonesia's strength lies in soft power, connecting people and building understanding across differences. This diplomacy is exact"&amp;"ly what our divided world needs")</f>
        <v>I believe Indonesia is one of the world's most diplomatically important countries. As a Lao student in Vietnam, I admire how Indonesia, despite its diversity, speaks with a unified voice globally. Indonesia plays an important role in ASEAN, also as a bridge between different cultures and political perspectives. Its leadership in hosting ASEAN Summits and its active participation in the G20 show its strong commitment to dialogue, cooperation, and peace.
What I find most impressive is Indonesia's voice in representing the Global South, especially in areas like climate change, sustainable development, and youth empowerment.
To me, Indonesia's strength lies in soft power, connecting people and building understanding across differences. This diplomacy is exactly what our divided world needs</v>
      </c>
      <c r="AP123" s="61" t="str">
        <f>IFERROR(__xludf.DUMMYFUNCTION("""COMPUTED_VALUE"""),"Youth play a vital role in diplomacy because they bring fresh perspectives, energy, and a long-term vision. Young people are often more open to dialogue and more willing to build connections across cultures. They act as bridges, promote peace, and support"&amp;" cooperation through education, volunteering, and leadership.
I relate strongly to the idea of public diplomacy because I have experienced its power firsthand. As a Lao student studying in Vietnam, I arrived in Nghe An Province feeling nervous and uncer"&amp;"tain. Everything was new, but simple conversations with Vietnamese friends, shared meals, and invitations to cultural activities helped me feel at home. Those small moments taught me that diplomacy happens between people, not just governments.
Today, as a"&amp;" student leader, I help new Lao students adjust to life in Vietnam. I organize cultural exchange activities, facilitate discussions, and encourage dialogue between students from different backgrounds. These actions may seem small, but they are public dipl"&amp;"omacy in practice. They building trust, breaking stereotypes, and creating lasting friendships.
I believe youth are not just the leaders of tomorrow, we are the bridge-builders of today. Through connection, courage, and responsibility, we can shape a mor"&amp;"e peaceful and understanding world. Public diplomacy starts with each of us, in our daily interactions. And that is something every young person can do.")</f>
        <v>Youth play a vital role in diplomacy because they bring fresh perspectives, energy, and a long-term vision. Young people are often more open to dialogue and more willing to build connections across cultures. They act as bridges, promote peace, and support cooperation through education, volunteering, and leadership.
I relate strongly to the idea of public diplomacy because I have experienced its power firsthand. As a Lao student studying in Vietnam, I arrived in Nghe An Province feeling nervous and uncertain. Everything was new, but simple conversations with Vietnamese friends, shared meals, and invitations to cultural activities helped me feel at home. Those small moments taught me that diplomacy happens between people, not just governments.
Today, as a student leader, I help new Lao students adjust to life in Vietnam. I organize cultural exchange activities, facilitate discussions, and encourage dialogue between students from different backgrounds. These actions may seem small, but they are public diplomacy in practice. They building trust, breaking stereotypes, and creating lasting friendships.
I believe youth are not just the leaders of tomorrow, we are the bridge-builders of today. Through connection, courage, and responsibility, we can shape a more peaceful and understanding world. Public diplomacy starts with each of us, in our daily interactions. And that is something every young person can do.</v>
      </c>
      <c r="AQ123" s="61" t="str">
        <f>IFERROR(__xludf.DUMMYFUNCTION("""COMPUTED_VALUE"""),"Passion is what keeps me moving when things become difficult. For me, it is not only about interest, but also about staying committed even when progress is slow.
My passion is public service and youth empowerment. It grew when I first arrived in Vietnam a"&amp;"s a Lao student. I felt confused and alone at first, and I understood how hard it can be to adapt to a new place. Over time, I wanted to help other students who might feel the same way. That became my motivation and my purpose.
This passion has helped me"&amp;" become a student leader and organize cultural activities for new Lao students. It also gave me the confidence to apply for programs like YPDS, even when I doubted my English skills and abilities. 
For me, passion is what turns effort into progress. It i"&amp;"s the reason I keep learning, growing, and serving others. It helps me work toward a better future for myself, my community, and ASEAN.")</f>
        <v>Passion is what keeps me moving when things become difficult. For me, it is not only about interest, but also about staying committed even when progress is slow.
My passion is public service and youth empowerment. It grew when I first arrived in Vietnam as a Lao student. I felt confused and alone at first, and I understood how hard it can be to adapt to a new place. Over time, I wanted to help other students who might feel the same way. That became my motivation and my purpose.
This passion has helped me become a student leader and organize cultural activities for new Lao students. It also gave me the confidence to apply for programs like YPDS, even when I doubted my English skills and abilities. 
For me, passion is what turns effort into progress. It is the reason I keep learning, growing, and serving others. It helps me work toward a better future for myself, my community, and ASEAN.</v>
      </c>
      <c r="AR123" s="61" t="str">
        <f>IFERROR(__xludf.DUMMYFUNCTION("""COMPUTED_VALUE"""),"Yes, I consider myself a creative person. For me, creativity is not only about art or design, but also about finding better ways to connect with people and solve problems.
When I helped new Lao students adjust to life in Vietnam, I noticed that long infor"&amp;"mation sessions did not work very well. Many students felt tired, overwhelmed, or confused. So I tried a different approach. I created a simple group chat where I shared daily tips about living in Nghe An, talked honestly about my own mistakes when I firs"&amp;"t arrived, and organized small buddy meetups. This made people feel more comfortable, less alone, and more willing to ask questions. It also taught me that small, creative ideas can make a big difference in people's lives.
I believe creativity can also h"&amp;"elp in public diplomacy. Young people today are surrounded by so formal speeches alone are not enough. We need creative tools like storytelling, cultural activities that feel real and relatable. If given the opportunity, II would use creativity to make im"&amp;"portant issues such as climate change, diversity, and cooperation feel more personal and meaningful.
Ultimately, creativity makes diplomacy feel human. It helps build trust, break down stereotypes, and encourage genuine cooperation across borders.")</f>
        <v>Yes, I consider myself a creative person. For me, creativity is not only about art or design, but also about finding better ways to connect with people and solve problems.
When I helped new Lao students adjust to life in Vietnam, I noticed that long information sessions did not work very well. Many students felt tired, overwhelmed, or confused. So I tried a different approach. I created a simple group chat where I shared daily tips about living in Nghe An, talked honestly about my own mistakes when I first arrived, and organized small buddy meetups. This made people feel more comfortable, less alone, and more willing to ask questions. It also taught me that small, creative ideas can make a big difference in people's lives.
I believe creativity can also help in public diplomacy. Young people today are surrounded by so formal speeches alone are not enough. We need creative tools like storytelling, cultural activities that feel real and relatable. If given the opportunity, II would use creativity to make important issues such as climate change, diversity, and cooperation feel more personal and meaningful.
Ultimately, creativity makes diplomacy feel human. It helps build trust, break down stereotypes, and encourage genuine cooperation across borders.</v>
      </c>
      <c r="AS123" s="61" t="str">
        <f>IFERROR(__xludf.DUMMYFUNCTION("""COMPUTED_VALUE"""),"Yes")</f>
        <v>Yes</v>
      </c>
      <c r="AT123" s="61" t="str">
        <f>IFERROR(__xludf.DUMMYFUNCTION("""COMPUTED_VALUE"""),"Yes")</f>
        <v>Yes</v>
      </c>
      <c r="AU123" s="61" t="str">
        <f>IFERROR(__xludf.DUMMYFUNCTION("""COMPUTED_VALUE"""),"Global Politics, Diplomacy &amp; Identities")</f>
        <v>Global Politics, Diplomacy &amp; Identities</v>
      </c>
      <c r="AV123" s="61" t="str">
        <f>IFERROR(__xludf.DUMMYFUNCTION("""COMPUTED_VALUE"""),"I learned about this program through scholarship opportunity websites, social media such as Facebook, and online youth leadership announcements.")</f>
        <v>I learned about this program through scholarship opportunity websites, social media such as Facebook, and online youth leadership announcements.</v>
      </c>
      <c r="AW123" s="61" t="str">
        <f>IFERROR(__xludf.DUMMYFUNCTION("""COMPUTED_VALUE"""),"I am most interested in public diplomacy, leadership development, strategic communication, and peacebuilding because these areas connect closely with my interests and experience.")</f>
        <v>I am most interested in public diplomacy, leadership development, strategic communication, and peacebuilding because these areas connect closely with my interests and experience.</v>
      </c>
      <c r="AX123" s="66" t="str">
        <f>IFERROR(__xludf.DUMMYFUNCTION("""COMPUTED_VALUE"""),"Yes")</f>
        <v>Yes</v>
      </c>
      <c r="AY123" s="66">
        <f>IFERROR(__xludf.DUMMYFUNCTION("""COMPUTED_VALUE"""),15.99)</f>
        <v>15.99</v>
      </c>
      <c r="AZ123" s="61"/>
      <c r="BA123" s="61"/>
      <c r="BB123" s="61"/>
      <c r="BC123" s="61"/>
      <c r="BD123" s="61"/>
      <c r="BE123" s="61"/>
      <c r="BF123" s="61"/>
      <c r="BG123" s="61"/>
      <c r="BH123" s="61"/>
      <c r="BI123" s="61"/>
      <c r="BJ123" s="61"/>
      <c r="BK123" s="61"/>
      <c r="BL123" s="61"/>
      <c r="BM123" s="61"/>
      <c r="BN123" s="61"/>
      <c r="BO123" s="61"/>
      <c r="BP123" s="61"/>
      <c r="BQ123" s="61"/>
      <c r="BR123" s="61"/>
    </row>
    <row r="124" ht="15.75" customHeight="1">
      <c r="A124" s="61" t="str">
        <f>IFERROR(__xludf.DUMMYFUNCTION("""COMPUTED_VALUE"""),"")</f>
        <v/>
      </c>
      <c r="B124" s="62">
        <f>IFERROR(__xludf.DUMMYFUNCTION("""COMPUTED_VALUE"""),145.0)</f>
        <v>145</v>
      </c>
      <c r="C124" s="61" t="str">
        <f>IFERROR(__xludf.DUMMYFUNCTION("""COMPUTED_VALUE"""),"Self")</f>
        <v>Self</v>
      </c>
      <c r="D124" s="63" t="str">
        <f>IFERROR(__xludf.DUMMYFUNCTION("""COMPUTED_VALUE"""),"Submitted")</f>
        <v>Submitted</v>
      </c>
      <c r="E124" s="63">
        <f>IFERROR(__xludf.DUMMYFUNCTION("""COMPUTED_VALUE"""),46208.88194444445)</f>
        <v>46208.88194</v>
      </c>
      <c r="F124" s="61" t="str">
        <f>IFERROR(__xludf.DUMMYFUNCTION("""COMPUTED_VALUE"""),"JIXUAN WANG")</f>
        <v>JIXUAN WANG</v>
      </c>
      <c r="G124" s="61" t="str">
        <f>IFERROR(__xludf.DUMMYFUNCTION("""COMPUTED_VALUE"""),"WANG JIXUAN")</f>
        <v>WANG JIXUAN</v>
      </c>
      <c r="H124" s="61" t="str">
        <f>IFERROR(__xludf.DUMMYFUNCTION("""COMPUTED_VALUE"""),"lunawang689@gmail.com")</f>
        <v>lunawang689@gmail.com</v>
      </c>
      <c r="I124" s="61" t="str">
        <f>IFERROR(__xludf.DUMMYFUNCTION("""COMPUTED_VALUE"""),"luckyplus6688@gmail.com")</f>
        <v>luckyplus6688@gmail.com</v>
      </c>
      <c r="J124" s="61"/>
      <c r="K124" s="61" t="str">
        <f>IFERROR(__xludf.DUMMYFUNCTION("""COMPUTED_VALUE"""),"CHINA")</f>
        <v>CHINA</v>
      </c>
      <c r="L124" s="64" t="str">
        <f>IFERROR(__xludf.DUMMYFUNCTION("""COMPUTED_VALUE"""),"+86 18519173799")</f>
        <v>+86 18519173799</v>
      </c>
      <c r="M124" s="64">
        <f>IFERROR(__xludf.DUMMYFUNCTION("""COMPUTED_VALUE"""),35476.0)</f>
        <v>35476</v>
      </c>
      <c r="N124" s="61" t="str">
        <f>IFERROR(__xludf.DUMMYFUNCTION("""COMPUTED_VALUE"""),"EF2043500")</f>
        <v>EF2043500</v>
      </c>
      <c r="O124" s="61" t="str">
        <f>IFERROR(__xludf.DUMMYFUNCTION("""COMPUTED_VALUE"""),"KE DENG")</f>
        <v>KE DENG</v>
      </c>
      <c r="P124" s="61"/>
      <c r="Q124" s="61"/>
      <c r="R124" s="61"/>
      <c r="S124" s="61" t="str">
        <f>IFERROR(__xludf.DUMMYFUNCTION("""COMPUTED_VALUE"""),"护照-Jixuan Wang.jpg")</f>
        <v>护照-Jixuan Wang.jpg</v>
      </c>
      <c r="T124" s="61" t="str">
        <f>IFERROR(__xludf.DUMMYFUNCTION("""COMPUTED_VALUE"""),"Photo-JIXUAN WANG(Compressed Version).png")</f>
        <v>Photo-JIXUAN WANG(Compressed Version).png</v>
      </c>
      <c r="U124" s="61" t="str">
        <f>IFERROR(__xludf.DUMMYFUNCTION("""COMPUTED_VALUE"""),"PHD")</f>
        <v>PHD</v>
      </c>
      <c r="V124" s="61" t="str">
        <f>IFERROR(__xludf.DUMMYFUNCTION("""COMPUTED_VALUE"""),"PHD")</f>
        <v>PHD</v>
      </c>
      <c r="W124" s="61"/>
      <c r="X124" s="61" t="str">
        <f>IFERROR(__xludf.DUMMYFUNCTION("""COMPUTED_VALUE"""),"CHINA CONMUUNICATION UNIVERSITY")</f>
        <v>CHINA CONMUUNICATION UNIVERSITY</v>
      </c>
      <c r="Y124" s="61" t="str">
        <f>IFERROR(__xludf.DUMMYFUNCTION("""COMPUTED_VALUE"""),"Yes")</f>
        <v>Yes</v>
      </c>
      <c r="Z124" s="61"/>
      <c r="AA124" s="61" t="str">
        <f>IFERROR(__xludf.DUMMYFUNCTION("""COMPUTED_VALUE"""),"Yes")</f>
        <v>Yes</v>
      </c>
      <c r="AB124" s="61"/>
      <c r="AC124" s="61"/>
      <c r="AD124" s="61" t="str">
        <f>IFERROR(__xludf.DUMMYFUNCTION("""COMPUTED_VALUE"""),"UN")</f>
        <v>UN</v>
      </c>
      <c r="AE124" s="61"/>
      <c r="AF124" s="61"/>
      <c r="AG124" s="61"/>
      <c r="AH124" s="61" t="str">
        <f>IFERROR(__xludf.DUMMYFUNCTION("""COMPUTED_VALUE"""),"Yes")</f>
        <v>Yes</v>
      </c>
      <c r="AI124" s="61"/>
      <c r="AJ124" s="61"/>
      <c r="AK124" s="61"/>
      <c r="AL124" s="61"/>
      <c r="AM124" s="61" t="str">
        <f>IFERROR(__xludf.DUMMYFUNCTION("""COMPUTED_VALUE"""),"（已压缩）CV-JixuanWang.pdf")</f>
        <v>（已压缩）CV-JixuanWang.pdf</v>
      </c>
      <c r="AN124" s="61" t="str">
        <f>IFERROR(__xludf.DUMMYFUNCTION("""COMPUTED_VALUE"""),"I have always been eager to create positive global changes. I took charge of hosting national large-scale events for the United Nations International Week of Science and Peace across China, organizing youth forums to advocate scientific spirit and peacefu"&amp;"l communication. I also launched cross-cultural sharing sessions for young people at home and abroad to reduce cultural stereotypes. Besides, I publish articles on youth public diplomacy online to encourage equal grassroots dialogue. Though these are gras"&amp;"sroots efforts, they connect young voices, bridge cross-cultural gaps and deliver lasting peaceful influence to wider communities.")</f>
        <v>I have always been eager to create positive global changes. I took charge of hosting national large-scale events for the United Nations International Week of Science and Peace across China, organizing youth forums to advocate scientific spirit and peaceful communication. I also launched cross-cultural sharing sessions for young people at home and abroad to reduce cultural stereotypes. Besides, I publish articles on youth public diplomacy online to encourage equal grassroots dialogue. Though these are grassroots efforts, they connect young voices, bridge cross-cultural gaps and deliver lasting peaceful influence to wider communities.</v>
      </c>
      <c r="AO124" s="61" t="str">
        <f>IFERROR(__xludf.DUMMYFUNCTION("""COMPUTED_VALUE"""),"China carries unmatched weight in global diplomacy. As a permanent UN Security Council member, it firmly upholds multilateralism and opposes confrontational geopolitics. It advocates win-win cooperation and the vision of a community with a shared future f"&amp;"or mankind, bridging gaps between developing and developed nations.
Having hosted national UN science and peace events, I witness how China’s people-centered diplomacy fosters cross-cultural trust. Its balanced, inclusive diplomatic framework offers a val"&amp;"uable peaceful development model that stabilizes global order and advances grassroots public dialogue worldwide.")</f>
        <v>China carries unmatched weight in global diplomacy. As a permanent UN Security Council member, it firmly upholds multilateralism and opposes confrontational geopolitics. It advocates win-win cooperation and the vision of a community with a shared future for mankind, bridging gaps between developing and developed nations.
Having hosted national UN science and peace events, I witness how China’s people-centered diplomacy fosters cross-cultural trust. Its balanced, inclusive diplomatic framework offers a valuable peaceful development model that stabilizes global order and advances grassroots public dialogue worldwide.</v>
      </c>
      <c r="AP124" s="61" t="str">
        <f>IFERROR(__xludf.DUMMYFUNCTION("""COMPUTED_VALUE"""),"Young people act as the most authentic grassroots messengers of unofficial diplomacy. Free from rigid official political restrictions, they communicate sincerely on equal terms, conveying ordinary people’s real voices across borders. Through events, onlin"&amp;"e exchanges and volunteer projects, they break deep-rooted cultural prejudices.
Public diplomacy centers on people-to-people connections instead of merely intergovernmental negotiations, prioritizing mutual respect, cultural tolerance and mutual understan"&amp;"ding. As someone who has hosted national UN science and peace activities, I deeply recognize its value. Official agreements alone cannot sustain long-term international trust. Youth public diplomacy eliminates misunderstandings, eases cultural conflicts, "&amp;"lays a solid mass foundation for state relations, and continuously pushes forward global long-term peace and cross-border mutual trust.")</f>
        <v>Young people act as the most authentic grassroots messengers of unofficial diplomacy. Free from rigid official political restrictions, they communicate sincerely on equal terms, conveying ordinary people’s real voices across borders. Through events, online exchanges and volunteer projects, they break deep-rooted cultural prejudices.
Public diplomacy centers on people-to-people connections instead of merely intergovernmental negotiations, prioritizing mutual respect, cultural tolerance and mutual understanding. As someone who has hosted national UN science and peace activities, I deeply recognize its value. Official agreements alone cannot sustain long-term international trust. Youth public diplomacy eliminates misunderstandings, eases cultural conflicts, lays a solid mass foundation for state relations, and continuously pushes forward global long-term peace and cross-border mutual trust.</v>
      </c>
      <c r="AQ124" s="61" t="str">
        <f>IFERROR(__xludf.DUMMYFUNCTION("""COMPUTED_VALUE"""),"assion refers to lasting inner devotion and consistent enthusiasm for one’s ideals, rather than fleeting momentary excitement. It is the core motivation supporting people through hardships.
My passion for youth public diplomacy drove me to independently h"&amp;"ost nationwide UN International Week of Science and Peace events. When I faced heavy coordination work, tight schedules and communication obstacles during event preparation, passion kept me persistent instead of giving up. It pushes me to spare extra time"&amp;" learning cross-cultural communication skills and actively seek international exchange platforms. It conquers hesitation and laziness, turns abstract ideals into concrete, steady actions, and steadily guides me to complete each diplomatic and peace-themed"&amp;" goal step by step.")</f>
        <v>assion refers to lasting inner devotion and consistent enthusiasm for one’s ideals, rather than fleeting momentary excitement. It is the core motivation supporting people through hardships.
My passion for youth public diplomacy drove me to independently host nationwide UN International Week of Science and Peace events. When I faced heavy coordination work, tight schedules and communication obstacles during event preparation, passion kept me persistent instead of giving up. It pushes me to spare extra time learning cross-cultural communication skills and actively seek international exchange platforms. It conquers hesitation and laziness, turns abstract ideals into concrete, steady actions, and steadily guides me to complete each diplomatic and peace-themed goal step by step.</v>
      </c>
      <c r="AR124" s="61" t="str">
        <f>IFERROR(__xludf.DUMMYFUNCTION("""COMPUTED_VALUE"""),"I consider myself a creative person, capable of integrating offline large-scale events and new media for cross-cultural communication, proven by my experience hosting national UN science and peace activities.
Effective public diplomacy strategies contain "&amp;"three key parts. First, adopt youth-friendly forms including themed workshops, global online forums and short cultural videos to replace dull formal speeches. Second, fully respect diverse cultural backgrounds, avoid cultural bias and design inclusive the"&amp;"mes around science, peace and youth development. Third, combine grassroots offline activities with international summit platforms to expand cross-border influence.
Creativity enables warm, approachable people-to-people communication that transcends politi"&amp;"cal barriers. Unique, sincere exchange methods can widely spread equal, peaceful values and realize genuine mutual understanding among global youth.")</f>
        <v>I consider myself a creative person, capable of integrating offline large-scale events and new media for cross-cultural communication, proven by my experience hosting national UN science and peace activities.
Effective public diplomacy strategies contain three key parts. First, adopt youth-friendly forms including themed workshops, global online forums and short cultural videos to replace dull formal speeches. Second, fully respect diverse cultural backgrounds, avoid cultural bias and design inclusive themes around science, peace and youth development. Third, combine grassroots offline activities with international summit platforms to expand cross-border influence.
Creativity enables warm, approachable people-to-people communication that transcends political barriers. Unique, sincere exchange methods can widely spread equal, peaceful values and realize genuine mutual understanding among global youth.</v>
      </c>
      <c r="AS124" s="61" t="str">
        <f>IFERROR(__xludf.DUMMYFUNCTION("""COMPUTED_VALUE"""),"Yes")</f>
        <v>Yes</v>
      </c>
      <c r="AT124" s="61" t="str">
        <f>IFERROR(__xludf.DUMMYFUNCTION("""COMPUTED_VALUE"""),"Yes")</f>
        <v>Yes</v>
      </c>
      <c r="AU124" s="61" t="str">
        <f>IFERROR(__xludf.DUMMYFUNCTION("""COMPUTED_VALUE"""),"Philosophy, Media &amp; Diplomacy in International Relations")</f>
        <v>Philosophy, Media &amp; Diplomacy in International Relations</v>
      </c>
      <c r="AV124" s="61" t="str">
        <f>IFERROR(__xludf.DUMMYFUNCTION("""COMPUTED_VALUE"""),"friends")</f>
        <v>friends</v>
      </c>
      <c r="AW124" s="61" t="str">
        <f>IFERROR(__xludf.DUMMYFUNCTION("""COMPUTED_VALUE"""),"Among all summit modules, youth-led cross-cultural dialogue workshops interest me most. This module gathers young participants from diverse nations to discuss global peace, scientific cooperation and grassroots public diplomacy without official restraints"&amp;". I love exchanging unique cultural perspectives, brainstorming small-scale international communication projects and simulating people-to-people diplomatic exchanges. It offers practical chances to turn theories into actionable plans, helps me learn peer "&amp;"diplomatic practices worldwide, and lets me build long-term cross-border youth partnerships to spread peace ideas.")</f>
        <v>Among all summit modules, youth-led cross-cultural dialogue workshops interest me most. This module gathers young participants from diverse nations to discuss global peace, scientific cooperation and grassroots public diplomacy without official restraints. I love exchanging unique cultural perspectives, brainstorming small-scale international communication projects and simulating people-to-people diplomatic exchanges. It offers practical chances to turn theories into actionable plans, helps me learn peer diplomatic practices worldwide, and lets me build long-term cross-border youth partnerships to spread peace ideas.</v>
      </c>
      <c r="AX124" s="66" t="str">
        <f>IFERROR(__xludf.DUMMYFUNCTION("""COMPUTED_VALUE"""),"Yes")</f>
        <v>Yes</v>
      </c>
      <c r="AY124" s="66">
        <f>IFERROR(__xludf.DUMMYFUNCTION("""COMPUTED_VALUE"""),15.99)</f>
        <v>15.99</v>
      </c>
      <c r="AZ124" s="61"/>
      <c r="BA124" s="61"/>
      <c r="BB124" s="61"/>
      <c r="BC124" s="61"/>
      <c r="BD124" s="61"/>
      <c r="BE124" s="61"/>
      <c r="BF124" s="61"/>
      <c r="BG124" s="61"/>
      <c r="BH124" s="61"/>
      <c r="BI124" s="61"/>
      <c r="BJ124" s="61"/>
      <c r="BK124" s="61"/>
      <c r="BL124" s="61"/>
      <c r="BM124" s="61"/>
      <c r="BN124" s="61"/>
      <c r="BO124" s="61"/>
      <c r="BP124" s="61"/>
      <c r="BQ124" s="61"/>
      <c r="BR124" s="61"/>
    </row>
    <row r="125" ht="15.75" customHeight="1">
      <c r="A125" s="61" t="str">
        <f>IFERROR(__xludf.DUMMYFUNCTION("""COMPUTED_VALUE"""),"")</f>
        <v/>
      </c>
      <c r="B125" s="62">
        <f>IFERROR(__xludf.DUMMYFUNCTION("""COMPUTED_VALUE"""),146.0)</f>
        <v>146</v>
      </c>
      <c r="C125" s="61" t="str">
        <f>IFERROR(__xludf.DUMMYFUNCTION("""COMPUTED_VALUE"""),"Self")</f>
        <v>Self</v>
      </c>
      <c r="D125" s="63" t="str">
        <f>IFERROR(__xludf.DUMMYFUNCTION("""COMPUTED_VALUE"""),"Submitted")</f>
        <v>Submitted</v>
      </c>
      <c r="E125" s="63">
        <f>IFERROR(__xludf.DUMMYFUNCTION("""COMPUTED_VALUE"""),46208.88819444444)</f>
        <v>46208.88819</v>
      </c>
      <c r="F125" s="61" t="str">
        <f>IFERROR(__xludf.DUMMYFUNCTION("""COMPUTED_VALUE"""),"Nasreen Ahmed")</f>
        <v>Nasreen Ahmed</v>
      </c>
      <c r="G125" s="61" t="str">
        <f>IFERROR(__xludf.DUMMYFUNCTION("""COMPUTED_VALUE"""),"NASREEN AHMED ABDO ABDULLAH")</f>
        <v>NASREEN AHMED ABDO ABDULLAH</v>
      </c>
      <c r="H125" s="61" t="str">
        <f>IFERROR(__xludf.DUMMYFUNCTION("""COMPUTED_VALUE"""),"nasreenahmed289@yahoo.com")</f>
        <v>nasreenahmed289@yahoo.com</v>
      </c>
      <c r="I125" s="61" t="str">
        <f>IFERROR(__xludf.DUMMYFUNCTION("""COMPUTED_VALUE"""),"nasreeeena80@gmail.com")</f>
        <v>nasreeeena80@gmail.com</v>
      </c>
      <c r="J125" s="61" t="str">
        <f>IFERROR(__xludf.DUMMYFUNCTION("""COMPUTED_VALUE"""),"al mansoura block 32, aden")</f>
        <v>al mansoura block 32, aden</v>
      </c>
      <c r="K125" s="61" t="str">
        <f>IFERROR(__xludf.DUMMYFUNCTION("""COMPUTED_VALUE"""),"Yemeni")</f>
        <v>Yemeni</v>
      </c>
      <c r="L125" s="64" t="str">
        <f>IFERROR(__xludf.DUMMYFUNCTION("""COMPUTED_VALUE"""),"733076082")</f>
        <v>733076082</v>
      </c>
      <c r="M125" s="64">
        <f>IFERROR(__xludf.DUMMYFUNCTION("""COMPUTED_VALUE"""),34565.0)</f>
        <v>34565</v>
      </c>
      <c r="N125" s="61" t="str">
        <f>IFERROR(__xludf.DUMMYFUNCTION("""COMPUTED_VALUE"""),"11715385")</f>
        <v>11715385</v>
      </c>
      <c r="O125" s="61" t="str">
        <f>IFERROR(__xludf.DUMMYFUNCTION("""COMPUTED_VALUE"""),"0096775200815")</f>
        <v>0096775200815</v>
      </c>
      <c r="P125" s="61"/>
      <c r="Q125" s="61"/>
      <c r="R125" s="65" t="str">
        <f>IFERROR(__xludf.DUMMYFUNCTION("""COMPUTED_VALUE"""),"https://www.facebook.com/share/1EAcL8Ao73/")</f>
        <v>https://www.facebook.com/share/1EAcL8Ao73/</v>
      </c>
      <c r="S125" s="61" t="str">
        <f>IFERROR(__xludf.DUMMYFUNCTION("""COMPUTED_VALUE"""),"نسرين جواز.pdf")</f>
        <v>نسرين جواز.pdf</v>
      </c>
      <c r="T125" s="61" t="str">
        <f>IFERROR(__xludf.DUMMYFUNCTION("""COMPUTED_VALUE"""),"Screenshot_20260705_182050_Gallery.jpg")</f>
        <v>Screenshot_20260705_182050_Gallery.jpg</v>
      </c>
      <c r="U125" s="61" t="str">
        <f>IFERROR(__xludf.DUMMYFUNCTION("""COMPUTED_VALUE"""),"Master's")</f>
        <v>Master's</v>
      </c>
      <c r="V125" s="61" t="str">
        <f>IFERROR(__xludf.DUMMYFUNCTION("""COMPUTED_VALUE"""),"MBA")</f>
        <v>MBA</v>
      </c>
      <c r="W125" s="61" t="str">
        <f>IFERROR(__xludf.DUMMYFUNCTION("""COMPUTED_VALUE"""),"Business Administration")</f>
        <v>Business Administration</v>
      </c>
      <c r="X125" s="61" t="str">
        <f>IFERROR(__xludf.DUMMYFUNCTION("""COMPUTED_VALUE"""),"Arab Academy for Administrative, Financial and Banking Sciences.")</f>
        <v>Arab Academy for Administrative, Financial and Banking Sciences.</v>
      </c>
      <c r="Y125" s="61" t="str">
        <f>IFERROR(__xludf.DUMMYFUNCTION("""COMPUTED_VALUE"""),"No")</f>
        <v>No</v>
      </c>
      <c r="Z125" s="61" t="str">
        <f>IFERROR(__xludf.DUMMYFUNCTION("""COMPUTED_VALUE"""),"Yemen")</f>
        <v>Yemen</v>
      </c>
      <c r="AA125" s="61" t="str">
        <f>IFERROR(__xludf.DUMMYFUNCTION("""COMPUTED_VALUE"""),"No")</f>
        <v>No</v>
      </c>
      <c r="AB125" s="61"/>
      <c r="AC125" s="61" t="str">
        <f>IFERROR(__xludf.DUMMYFUNCTION("""COMPUTED_VALUE"""),"Yes")</f>
        <v>Yes</v>
      </c>
      <c r="AD125" s="61" t="str">
        <f>IFERROR(__xludf.DUMMYFUNCTION("""COMPUTED_VALUE"""),"Oxfam Yemen")</f>
        <v>Oxfam Yemen</v>
      </c>
      <c r="AE125" s="65" t="str">
        <f>IFERROR(__xludf.DUMMYFUNCTION("""COMPUTED_VALUE"""),"https://www.oxfam.org/en")</f>
        <v>https://www.oxfam.org/en</v>
      </c>
      <c r="AF125" s="61" t="str">
        <f>IFERROR(__xludf.DUMMYFUNCTION("""COMPUTED_VALUE"""),"Volunteer")</f>
        <v>Volunteer</v>
      </c>
      <c r="AG125" s="61" t="str">
        <f>IFERROR(__xludf.DUMMYFUNCTION("""COMPUTED_VALUE"""),"One year")</f>
        <v>One year</v>
      </c>
      <c r="AH125" s="61" t="str">
        <f>IFERROR(__xludf.DUMMYFUNCTION("""COMPUTED_VALUE"""),"Yes")</f>
        <v>Yes</v>
      </c>
      <c r="AI125" s="61" t="str">
        <f>IFERROR(__xludf.DUMMYFUNCTION("""COMPUTED_VALUE"""),"I currently work at the Ministry of Justice as an Administrative Officer. My responsibilities include administrative coordination, document management, official correspondence, scheduling meetings, and providing administrative support.")</f>
        <v>I currently work at the Ministry of Justice as an Administrative Officer. My responsibilities include administrative coordination, document management, official correspondence, scheduling meetings, and providing administrative support.</v>
      </c>
      <c r="AJ125" s="61" t="str">
        <f>IFERROR(__xludf.DUMMYFUNCTION("""COMPUTED_VALUE"""),"No")</f>
        <v>No</v>
      </c>
      <c r="AK125" s="61"/>
      <c r="AL125" s="61" t="str">
        <f>IFERROR(__xludf.DUMMYFUNCTION("""COMPUTED_VALUE"""),"Leadership, Communication, Public Speaking, Academic Research, Academic Writing, Project Management, Teamwork, Problem Solving, Time Management, Event Coordination, Microsoft Office, and Digital Transformation.")</f>
        <v>Leadership, Communication, Public Speaking, Academic Research, Academic Writing, Project Management, Teamwork, Problem Solving, Time Management, Event Coordination, Microsoft Office, and Digital Transformation.</v>
      </c>
      <c r="AM125" s="61" t="str">
        <f>IFERROR(__xludf.DUMMYFUNCTION("""COMPUTED_VALUE"""),"cv nasreen.pdf")</f>
        <v>cv nasreen.pdf</v>
      </c>
      <c r="AN125" s="61" t="str">
        <f>IFERROR(__xludf.DUMMYFUNCTION("""COMPUTED_VALUE"""),"Yes, I have. If I could change one thing in the world, I would ensure that no one is left homeless or without dignity. I believe that every person deserves a safe place to live, regardless of their background or circumstances. Although I cannot solve this"&amp;" challenge alone, I have started by helping vulnerable and low-income families in my community through personal initiatives and volunteer work. My experience has taught me that meaningful change begins with individual action and compassion. I also believe"&amp;" that effective public policies, international cooperation, and inclusive diplomacy can help build societies where everyone has the opportunity to live with dignity, security, and hope.")</f>
        <v>Yes, I have. If I could change one thing in the world, I would ensure that no one is left homeless or without dignity. I believe that every person deserves a safe place to live, regardless of their background or circumstances. Although I cannot solve this challenge alone, I have started by helping vulnerable and low-income families in my community through personal initiatives and volunteer work. My experience has taught me that meaningful change begins with individual action and compassion. I also believe that effective public policies, international cooperation, and inclusive diplomacy can help build societies where everyone has the opportunity to live with dignity, security, and hope.</v>
      </c>
      <c r="AO125" s="61" t="str">
        <f>IFERROR(__xludf.DUMMYFUNCTION("""COMPUTED_VALUE"""),"In my opinion, Saudi Arabia is one of the most diplomatically significant countries in the world. It has successfully become a global platform for international dialogue by hosting major summits, bringing together world leaders, and encouraging cooperatio"&amp;"n on regional and global issues. Saudi Arabia has also expanded its role in mediation, humanitarian initiatives, and international partnerships. I believe its ability to connect different cultures and promote dialogue demonstrates that diplomacy is not on"&amp;"ly about politics, but also about building trust, strengthening cooperation, and creating opportunities for peace and sustainable development.")</f>
        <v>In my opinion, Saudi Arabia is one of the most diplomatically significant countries in the world. It has successfully become a global platform for international dialogue by hosting major summits, bringing together world leaders, and encouraging cooperation on regional and global issues. Saudi Arabia has also expanded its role in mediation, humanitarian initiatives, and international partnerships. I believe its ability to connect different cultures and promote dialogue demonstrates that diplomacy is not only about politics, but also about building trust, strengthening cooperation, and creating opportunities for peace and sustainable development.</v>
      </c>
      <c r="AP125" s="61" t="str">
        <f>IFERROR(__xludf.DUMMYFUNCTION("""COMPUTED_VALUE"""),"I believe young people should be the green flag of peace, respect, and mutual understanding between their own communities and the rest of the world. They are the driving force behind innovation, humanitarian action, and positive social change. When young "&amp;"people truly love their country, they become its best ambassadors, representing its values through their actions rather than words.
I relate to public diplomacy through my work in the Ministry of Justice, my volunteer activities, and my participation in c"&amp;"ommunity initiatives. I believe that serving people, building trust, and creating opportunities for dialogue are powerful forms of diplomacy. As a Yemeni woman, I want to represent my country by showing that Yemen is not only defined by conflict, but also"&amp;" by educated, resilient, and ambitious young people who are committed to peace, cooperation, and sustainable development.")</f>
        <v>I believe young people should be the green flag of peace, respect, and mutual understanding between their own communities and the rest of the world. They are the driving force behind innovation, humanitarian action, and positive social change. When young people truly love their country, they become its best ambassadors, representing its values through their actions rather than words.
I relate to public diplomacy through my work in the Ministry of Justice, my volunteer activities, and my participation in community initiatives. I believe that serving people, building trust, and creating opportunities for dialogue are powerful forms of diplomacy. As a Yemeni woman, I want to represent my country by showing that Yemen is not only defined by conflict, but also by educated, resilient, and ambitious young people who are committed to peace, cooperation, and sustainable development.</v>
      </c>
      <c r="AQ125" s="61" t="str">
        <f>IFERROR(__xludf.DUMMYFUNCTION("""COMPUTED_VALUE"""),"To me, passion means being able to reach my dreams with my own hands, no matter how difficult the journey becomes. During the conflict in Yemen in 2015, daily life was extremely challenging. We lived with severe shortages of basic services, and I was preg"&amp;"nant with my second child. After giving birth, I experienced the heartbreaking loss of my baby. Despite that painful chapter, I refused to give up on my future. My passion gave me the strength to continue my education, complete my Bachelor's degree, earn "&amp;"my MBA, and now prepare for my PhD. I believe passion is not simply an emotion; it is the courage to keep moving forward, even when life tests you the most.")</f>
        <v>To me, passion means being able to reach my dreams with my own hands, no matter how difficult the journey becomes. During the conflict in Yemen in 2015, daily life was extremely challenging. We lived with severe shortages of basic services, and I was pregnant with my second child. After giving birth, I experienced the heartbreaking loss of my baby. Despite that painful chapter, I refused to give up on my future. My passion gave me the strength to continue my education, complete my Bachelor's degree, earn my MBA, and now prepare for my PhD. I believe passion is not simply an emotion; it is the courage to keep moving forward, even when life tests you the most.</v>
      </c>
      <c r="AR125" s="61" t="str">
        <f>IFERROR(__xludf.DUMMYFUNCTION("""COMPUTED_VALUE"""),"Yes, I consider myself a highly creative person. I enjoy thinking differently and finding practical solutions to challenges in both my personal and professional life. My family and friends often seek my advice because I enjoy analyzing problems and lookin"&amp;"g for innovative ways to solve them. I believe creativity is not only about creating something new; it is about seeing opportunities where others see obstacles. In public diplomacy, creativity can transform dialogue into understanding and differences into"&amp;" opportunities for cooperation. By using innovative ideas, storytelling, community initiatives, and digital communication, we can build trust between cultures and encourage peace. I hope to use my creativity to represent Yemen positively, strengthen cultu"&amp;"ral exchange, and inspire young people to become ambassadors of understanding, cooperation, and hope.")</f>
        <v>Yes, I consider myself a highly creative person. I enjoy thinking differently and finding practical solutions to challenges in both my personal and professional life. My family and friends often seek my advice because I enjoy analyzing problems and looking for innovative ways to solve them. I believe creativity is not only about creating something new; it is about seeing opportunities where others see obstacles. In public diplomacy, creativity can transform dialogue into understanding and differences into opportunities for cooperation. By using innovative ideas, storytelling, community initiatives, and digital communication, we can build trust between cultures and encourage peace. I hope to use my creativity to represent Yemen positively, strengthen cultural exchange, and inspire young people to become ambassadors of understanding, cooperation, and hope.</v>
      </c>
      <c r="AS125" s="61" t="str">
        <f>IFERROR(__xludf.DUMMYFUNCTION("""COMPUTED_VALUE"""),"Yes")</f>
        <v>Yes</v>
      </c>
      <c r="AT125" s="61" t="str">
        <f>IFERROR(__xludf.DUMMYFUNCTION("""COMPUTED_VALUE"""),"Yes")</f>
        <v>Yes</v>
      </c>
      <c r="AU125" s="61" t="str">
        <f>IFERROR(__xludf.DUMMYFUNCTION("""COMPUTED_VALUE"""),"Strategy, Peace &amp; Cultural Diplomacy")</f>
        <v>Strategy, Peace &amp; Cultural Diplomacy</v>
      </c>
      <c r="AV125" s="61" t="str">
        <f>IFERROR(__xludf.DUMMYFUNCTION("""COMPUTED_VALUE"""),"Opportunities Corners.")</f>
        <v>Opportunities Corners.</v>
      </c>
      <c r="AW125" s="61" t="str">
        <f>IFERROR(__xludf.DUMMYFUNCTION("""COMPUTED_VALUE"""),"Youth Leadership and Public Diplomacy.")</f>
        <v>Youth Leadership and Public Diplomacy.</v>
      </c>
      <c r="AX125" s="66" t="str">
        <f>IFERROR(__xludf.DUMMYFUNCTION("""COMPUTED_VALUE"""),"Yes")</f>
        <v>Yes</v>
      </c>
      <c r="AY125" s="66">
        <f>IFERROR(__xludf.DUMMYFUNCTION("""COMPUTED_VALUE"""),15.99)</f>
        <v>15.99</v>
      </c>
      <c r="AZ125" s="61"/>
      <c r="BA125" s="61"/>
      <c r="BB125" s="61"/>
      <c r="BC125" s="61"/>
      <c r="BD125" s="61"/>
      <c r="BE125" s="61"/>
      <c r="BF125" s="61"/>
      <c r="BG125" s="61"/>
      <c r="BH125" s="61"/>
      <c r="BI125" s="61"/>
      <c r="BJ125" s="61"/>
      <c r="BK125" s="61"/>
      <c r="BL125" s="61"/>
      <c r="BM125" s="61"/>
      <c r="BN125" s="61"/>
      <c r="BO125" s="61"/>
      <c r="BP125" s="61"/>
      <c r="BQ125" s="61"/>
      <c r="BR125" s="61"/>
    </row>
    <row r="126" ht="15.75" customHeight="1">
      <c r="A126" s="61" t="str">
        <f>IFERROR(__xludf.DUMMYFUNCTION("""COMPUTED_VALUE"""),"Self")</f>
        <v>Self</v>
      </c>
      <c r="B126" s="62">
        <f>IFERROR(__xludf.DUMMYFUNCTION("""COMPUTED_VALUE"""),147.0)</f>
        <v>147</v>
      </c>
      <c r="C126" s="61" t="str">
        <f>IFERROR(__xludf.DUMMYFUNCTION("""COMPUTED_VALUE"""),"Self")</f>
        <v>Self</v>
      </c>
      <c r="D126" s="63" t="str">
        <f>IFERROR(__xludf.DUMMYFUNCTION("""COMPUTED_VALUE"""),"Submitted")</f>
        <v>Submitted</v>
      </c>
      <c r="E126" s="63">
        <f>IFERROR(__xludf.DUMMYFUNCTION("""COMPUTED_VALUE"""),46208.90138888889)</f>
        <v>46208.90139</v>
      </c>
      <c r="F126" s="61" t="str">
        <f>IFERROR(__xludf.DUMMYFUNCTION("""COMPUTED_VALUE"""),"Shokhrukh Eshnazarov")</f>
        <v>Shokhrukh Eshnazarov</v>
      </c>
      <c r="G126" s="61" t="str">
        <f>IFERROR(__xludf.DUMMYFUNCTION("""COMPUTED_VALUE"""),"Shokhrukh Eshnazarov")</f>
        <v>Shokhrukh Eshnazarov</v>
      </c>
      <c r="H126" s="61" t="str">
        <f>IFERROR(__xludf.DUMMYFUNCTION("""COMPUTED_VALUE"""),"shokhrukhhotelier@gmail.com")</f>
        <v>shokhrukhhotelier@gmail.com</v>
      </c>
      <c r="I126" s="61" t="str">
        <f>IFERROR(__xludf.DUMMYFUNCTION("""COMPUTED_VALUE"""),"shoxrux.eshnazarov@icloud.com")</f>
        <v>shoxrux.eshnazarov@icloud.com</v>
      </c>
      <c r="J126" s="61" t="str">
        <f>IFERROR(__xludf.DUMMYFUNCTION("""COMPUTED_VALUE"""),"Mulloqandov ko'chasi 1-yo'lak,3, Samarkand, Uzbekistan, Uzbekistan")</f>
        <v>Mulloqandov ko'chasi 1-yo'lak,3, Samarkand, Uzbekistan, Uzbekistan</v>
      </c>
      <c r="K126" s="61" t="str">
        <f>IFERROR(__xludf.DUMMYFUNCTION("""COMPUTED_VALUE"""),"Uzbek")</f>
        <v>Uzbek</v>
      </c>
      <c r="L126" s="64" t="str">
        <f>IFERROR(__xludf.DUMMYFUNCTION("""COMPUTED_VALUE"""),"+998947250032")</f>
        <v>+998947250032</v>
      </c>
      <c r="M126" s="64">
        <f>IFERROR(__xludf.DUMMYFUNCTION("""COMPUTED_VALUE"""),38965.0)</f>
        <v>38965</v>
      </c>
      <c r="N126" s="61" t="str">
        <f>IFERROR(__xludf.DUMMYFUNCTION("""COMPUTED_VALUE"""),"FB2013103")</f>
        <v>FB2013103</v>
      </c>
      <c r="O126" s="61" t="str">
        <f>IFERROR(__xludf.DUMMYFUNCTION("""COMPUTED_VALUE"""),"+998931886687")</f>
        <v>+998931886687</v>
      </c>
      <c r="P126" s="61" t="str">
        <f>IFERROR(__xludf.DUMMYFUNCTION("""COMPUTED_VALUE"""),"shoxrux-eshnazarov")</f>
        <v>shoxrux-eshnazarov</v>
      </c>
      <c r="Q126" s="61" t="str">
        <f>IFERROR(__xludf.DUMMYFUNCTION("""COMPUTED_VALUE"""),"725shz")</f>
        <v>725shz</v>
      </c>
      <c r="R126" s="61" t="str">
        <f>IFERROR(__xludf.DUMMYFUNCTION("""COMPUTED_VALUE"""),"shoxruxeshnazarov_")</f>
        <v>shoxruxeshnazarov_</v>
      </c>
      <c r="S126" s="61" t="str">
        <f>IFERROR(__xludf.DUMMYFUNCTION("""COMPUTED_VALUE"""),"Документ (2).pdf")</f>
        <v>Документ (2).pdf</v>
      </c>
      <c r="T126" s="61" t="str">
        <f>IFERROR(__xludf.DUMMYFUNCTION("""COMPUTED_VALUE"""),"photo_2026-06-27_22-06-02.jpg")</f>
        <v>photo_2026-06-27_22-06-02.jpg</v>
      </c>
      <c r="U126" s="61" t="str">
        <f>IFERROR(__xludf.DUMMYFUNCTION("""COMPUTED_VALUE"""),"Bachelor's Degree")</f>
        <v>Bachelor's Degree</v>
      </c>
      <c r="V126" s="61" t="str">
        <f>IFERROR(__xludf.DUMMYFUNCTION("""COMPUTED_VALUE"""),"2nd course")</f>
        <v>2nd course</v>
      </c>
      <c r="W126" s="61" t="str">
        <f>IFERROR(__xludf.DUMMYFUNCTION("""COMPUTED_VALUE"""),"Economics (Industries and Sectors)")</f>
        <v>Economics (Industries and Sectors)</v>
      </c>
      <c r="X126" s="61" t="str">
        <f>IFERROR(__xludf.DUMMYFUNCTION("""COMPUTED_VALUE"""),"Tashkent State University of Economics — Samarkand Branch")</f>
        <v>Tashkent State University of Economics — Samarkand Branch</v>
      </c>
      <c r="Y126" s="61" t="str">
        <f>IFERROR(__xludf.DUMMYFUNCTION("""COMPUTED_VALUE"""),"Yes")</f>
        <v>Yes</v>
      </c>
      <c r="Z126" s="61" t="str">
        <f>IFERROR(__xludf.DUMMYFUNCTION("""COMPUTED_VALUE"""),"Uzbekistan")</f>
        <v>Uzbekistan</v>
      </c>
      <c r="AA126" s="61" t="str">
        <f>IFERROR(__xludf.DUMMYFUNCTION("""COMPUTED_VALUE"""),"No")</f>
        <v>No</v>
      </c>
      <c r="AB126" s="61"/>
      <c r="AC126" s="61"/>
      <c r="AD126" s="61" t="str">
        <f>IFERROR(__xludf.DUMMYFUNCTION("""COMPUTED_VALUE"""),"Primary Organization of Youth Union — Tashkent State University of Economics, Samarkand Branch")</f>
        <v>Primary Organization of Youth Union — Tashkent State University of Economics, Samarkand Branch</v>
      </c>
      <c r="AE126" s="65" t="str">
        <f>IFERROR(__xludf.DUMMYFUNCTION("""COMPUTED_VALUE"""),"https://sbtsue")</f>
        <v>https://sbtsue</v>
      </c>
      <c r="AF126" s="61" t="str">
        <f>IFERROR(__xludf.DUMMYFUNCTION("""COMPUTED_VALUE"""),"Youth Union Coordinator, Event Organizer, Organizational Affairs Specialist")</f>
        <v>Youth Union Coordinator, Event Organizer, Organizational Affairs Specialist</v>
      </c>
      <c r="AG126" s="61"/>
      <c r="AH126" s="61" t="str">
        <f>IFERROR(__xludf.DUMMYFUNCTION("""COMPUTED_VALUE"""),"No")</f>
        <v>No</v>
      </c>
      <c r="AI126" s="61"/>
      <c r="AJ126" s="61" t="str">
        <f>IFERROR(__xludf.DUMMYFUNCTION("""COMPUTED_VALUE"""),"Yes")</f>
        <v>Yes</v>
      </c>
      <c r="AK126" s="61" t="str">
        <f>IFERROR(__xludf.DUMMYFUNCTION("""COMPUTED_VALUE"""),"I have founded and co-founded several youth initiatives:
Yosh Islohatchilar — a youth reform movement inspiring young people to contribute to social and civic change.
Venture Volunteer — a volunteer platform connecting youth with entrepreneurship and comm"&amp;"unity development opportunities.
Hamnasaf — a peer support initiative fostering solidarity and collaboration among students.
SpeakUp — a public speaking and debate platform empowering young people to develop communication and critical thinking skills.")</f>
        <v>I have founded and co-founded several youth initiatives:
Yosh Islohatchilar — a youth reform movement inspiring young people to contribute to social and civic change.
Venture Volunteer — a volunteer platform connecting youth with entrepreneurship and community development opportunities.
Hamnasaf — a peer support initiative fostering solidarity and collaboration among students.
SpeakUp — a public speaking and debate platform empowering young people to develop communication and critical thinking skills.</v>
      </c>
      <c r="AL126" s="61" t="str">
        <f>IFERROR(__xludf.DUMMYFUNCTION("""COMPUTED_VALUE"""),"Event Planning, Team Leadership, Volunteer Coordination, Public Speaking, Organizational Management, Community Engagement, Hospitality Operations, OTA Channel Management, Digital Marketing, Social Media Content Creation, Multilingual Communication (Uzbek,"&amp;" English C1, Russian B2, Tajik B2)")</f>
        <v>Event Planning, Team Leadership, Volunteer Coordination, Public Speaking, Organizational Management, Community Engagement, Hospitality Operations, OTA Channel Management, Digital Marketing, Social Media Content Creation, Multilingual Communication (Uzbek, English C1, Russian B2, Tajik B2)</v>
      </c>
      <c r="AM126" s="61" t="str">
        <f>IFERROR(__xludf.DUMMYFUNCTION("""COMPUTED_VALUE"""),"Shokhrukh_Eshnazarov_YPDS_Delegate_CV (4).pdf")</f>
        <v>Shokhrukh_Eshnazarov_YPDS_Delegate_CV (4).pdf</v>
      </c>
      <c r="AN126" s="61" t="str">
        <f>IFERROR(__xludf.DUMMYFUNCTION("""COMPUTED_VALUE"""),"Yes — and I have already begun. As founder of four youth organizations in Samarkand, including SpeakUp, Venture Volunteer, Hamnasaf, and Yosh Islohatchilar, I have taken concrete steps to create change at the grassroots level. I mobilized over 60 voluntee"&amp;"rs for a city-wide Navruz fair, organized educational seminars for government employees, and progressed from Samarkand City Council member to Chairman of Yosh Islohatchilar in under six months. I believe change starts locally — with one conversation, one "&amp;"event, one empowered young person at a time. My actions reflect my conviction that youth are not the leaders of tomorrow; we are the leaders of today.")</f>
        <v>Yes — and I have already begun. As founder of four youth organizations in Samarkand, including SpeakUp, Venture Volunteer, Hamnasaf, and Yosh Islohatchilar, I have taken concrete steps to create change at the grassroots level. I mobilized over 60 volunteers for a city-wide Navruz fair, organized educational seminars for government employees, and progressed from Samarkand City Council member to Chairman of Yosh Islohatchilar in under six months. I believe change starts locally — with one conversation, one event, one empowered young person at a time. My actions reflect my conviction that youth are not the leaders of tomorrow; we are the leaders of today.</v>
      </c>
      <c r="AO126" s="61" t="str">
        <f>IFERROR(__xludf.DUMMYFUNCTION("""COMPUTED_VALUE"""),"Indonesia stands out as one of the most diplomatically significant countries in the world. As the world's largest Muslim-majority democracy, the fourth most populous nation, and a founding member of ASEAN, Indonesia bridges Eastern and Western values with"&amp;" remarkable balance. Its commitment to the principle of ""bebas dan aktif"" — free and active foreign policy — allows it to maintain strong relationships across geopolitical divides. Indonesia's role as a G20 member and its leadership in multilateral dipl"&amp;"omacy make it a model for emerging nations. Hosting YPDS Jakarta 2026 reflects exactly this spirit: using diplomacy as a tool for youth empowerment and global dialogue.")</f>
        <v>Indonesia stands out as one of the most diplomatically significant countries in the world. As the world's largest Muslim-majority democracy, the fourth most populous nation, and a founding member of ASEAN, Indonesia bridges Eastern and Western values with remarkable balance. Its commitment to the principle of "bebas dan aktif" — free and active foreign policy — allows it to maintain strong relationships across geopolitical divides. Indonesia's role as a G20 member and its leadership in multilateral diplomacy make it a model for emerging nations. Hosting YPDS Jakarta 2026 reflects exactly this spirit: using diplomacy as a tool for youth empowerment and global dialogue.</v>
      </c>
      <c r="AP126" s="61" t="str">
        <f>IFERROR(__xludf.DUMMYFUNCTION("""COMPUTED_VALUE"""),"Youth are the most underutilized resource in diplomacy. Traditionally, diplomacy has been the domain of experienced statesmen and senior officials. But in an increasingly interconnected world shaped by social media, climate change, and rapid technological"&amp;" transformation, the perspectives of young people are not optional — they are essential.
Youth bring creativity, digital fluency, and a cross-cultural adaptability that traditional diplomacy often lacks. We are native to a globalized world; we speak acros"&amp;"s borders through shared music, language, and values more naturally than any formal treaty.
Public Diplomacy, in particular, resonates deeply with me. It moves beyond government-to-government relations and focuses on building genuine understanding between"&amp;" peoples. As a multilingual youth leader who has organized community events, facilitated dialogue between students and government officials, and founded platforms like SpeakUp to amplify young voices, I have lived the essence of public diplomacy without a"&amp;"lways naming it as such.
I believe youth must be not just participants but architects of diplomatic conversations. At YPDS Jakarta 2026, I hope to deepen my understanding of how public diplomacy works at the international level — and bring those tools bac"&amp;"k to Uzbekistan to build bridges, not walls.")</f>
        <v>Youth are the most underutilized resource in diplomacy. Traditionally, diplomacy has been the domain of experienced statesmen and senior officials. But in an increasingly interconnected world shaped by social media, climate change, and rapid technological transformation, the perspectives of young people are not optional — they are essential.
Youth bring creativity, digital fluency, and a cross-cultural adaptability that traditional diplomacy often lacks. We are native to a globalized world; we speak across borders through shared music, language, and values more naturally than any formal treaty.
Public Diplomacy, in particular, resonates deeply with me. It moves beyond government-to-government relations and focuses on building genuine understanding between peoples. As a multilingual youth leader who has organized community events, facilitated dialogue between students and government officials, and founded platforms like SpeakUp to amplify young voices, I have lived the essence of public diplomacy without always naming it as such.
I believe youth must be not just participants but architects of diplomatic conversations. At YPDS Jakarta 2026, I hope to deepen my understanding of how public diplomacy works at the international level — and bring those tools back to Uzbekistan to build bridges, not walls.</v>
      </c>
      <c r="AQ126" s="61" t="str">
        <f>IFERROR(__xludf.DUMMYFUNCTION("""COMPUTED_VALUE"""),"Passion, to me, is the force that keeps you moving when logic says stop. It is not merely enthusiasm — it is a deep, sustained commitment to something larger than yourself.
My passion for youth empowerment has driven every significant achievement in my li"&amp;"fe. When I founded SpeakUp, there was no guarantee anyone would come. When I organized the Navruz Open Fair with the Samarkand city government, coordinating 60+ volunteers required countless hours of planning, negotiation, and problem-solving. When I prog"&amp;"ressed from a city council member to Chairman of Yosh Islohatchilar in under six months, it was not luck — it was passion channeled into disciplined, consistent action.
Passion also helps me persist through failure. Not every event went perfectly; not eve"&amp;"ry initiative succeeded immediately. But passion gave me the resilience to learn, adapt, and continue. It transforms obstacles into lessons and setbacks into fuel.")</f>
        <v>Passion, to me, is the force that keeps you moving when logic says stop. It is not merely enthusiasm — it is a deep, sustained commitment to something larger than yourself.
My passion for youth empowerment has driven every significant achievement in my life. When I founded SpeakUp, there was no guarantee anyone would come. When I organized the Navruz Open Fair with the Samarkand city government, coordinating 60+ volunteers required countless hours of planning, negotiation, and problem-solving. When I progressed from a city council member to Chairman of Yosh Islohatchilar in under six months, it was not luck — it was passion channeled into disciplined, consistent action.
Passion also helps me persist through failure. Not every event went perfectly; not every initiative succeeded immediately. But passion gave me the resilience to learn, adapt, and continue. It transforms obstacles into lessons and setbacks into fuel.</v>
      </c>
      <c r="AR126" s="61" t="str">
        <f>IFERROR(__xludf.DUMMYFUNCTION("""COMPUTED_VALUE"""),"Creativity, for me, is not about art — it is about finding unexpected solutions to real problems. And yes, I am deeply creative in this sense.
As a social media content creator for Al Samarqandi Hotel, I have turned ordinary hotel moments into engaging di"&amp;"gital stories that attract guests and build brand loyalty. As founder of SpeakUp, I created a debate platform from scratch — designing formats, recruiting participants, and building a community where none existed before. When organizing the Navruz Open Fa"&amp;"ir, I worked creatively within limited resources to deliver a city-wide event that brought together students, government officials, and citizens.
In public diplomacy, creativity is not optional — it is the engine. A creative diplomat does not just deliver"&amp;" a message; they craft an experience. They use storytelling, cultural exchange, and digital platforms to make ideas feel personal and relevant to their audience.
My strategy would combine three creative pillars: authentic storytelling through social media"&amp;", experiential events that create shared memories across cultures, and youth-led dialogue platforms like SpeakUp that give ordinary people a voice in extraordinary conversations. Creativity transforms diplomacy from a formal process into a human connectio"&amp;"n.")</f>
        <v>Creativity, for me, is not about art — it is about finding unexpected solutions to real problems. And yes, I am deeply creative in this sense.
As a social media content creator for Al Samarqandi Hotel, I have turned ordinary hotel moments into engaging digital stories that attract guests and build brand loyalty. As founder of SpeakUp, I created a debate platform from scratch — designing formats, recruiting participants, and building a community where none existed before. When organizing the Navruz Open Fair, I worked creatively within limited resources to deliver a city-wide event that brought together students, government officials, and citizens.
In public diplomacy, creativity is not optional — it is the engine. A creative diplomat does not just deliver a message; they craft an experience. They use storytelling, cultural exchange, and digital platforms to make ideas feel personal and relevant to their audience.
My strategy would combine three creative pillars: authentic storytelling through social media, experiential events that create shared memories across cultures, and youth-led dialogue platforms like SpeakUp that give ordinary people a voice in extraordinary conversations. Creativity transforms diplomacy from a formal process into a human connection.</v>
      </c>
      <c r="AS126" s="61" t="str">
        <f>IFERROR(__xludf.DUMMYFUNCTION("""COMPUTED_VALUE"""),"Yes")</f>
        <v>Yes</v>
      </c>
      <c r="AT126" s="61" t="str">
        <f>IFERROR(__xludf.DUMMYFUNCTION("""COMPUTED_VALUE"""),"Yes")</f>
        <v>Yes</v>
      </c>
      <c r="AU126" s="61" t="str">
        <f>IFERROR(__xludf.DUMMYFUNCTION("""COMPUTED_VALUE"""),"Global Politics, Diplomacy &amp; Identities")</f>
        <v>Global Politics, Diplomacy &amp; Identities</v>
      </c>
      <c r="AV126" s="65" t="str">
        <f>IFERROR(__xludf.DUMMYFUNCTION("""COMPUTED_VALUE"""),"https://grantgo.uz/")</f>
        <v>https://grantgo.uz/</v>
      </c>
      <c r="AW126" s="61" t="str">
        <f>IFERROR(__xludf.DUMMYFUNCTION("""COMPUTED_VALUE"""),"Youth Leadership and Public Diplomacy")</f>
        <v>Youth Leadership and Public Diplomacy</v>
      </c>
      <c r="AX126" s="66" t="str">
        <f>IFERROR(__xludf.DUMMYFUNCTION("""COMPUTED_VALUE"""),"Yes")</f>
        <v>Yes</v>
      </c>
      <c r="AY126" s="66">
        <f>IFERROR(__xludf.DUMMYFUNCTION("""COMPUTED_VALUE"""),15.99)</f>
        <v>15.99</v>
      </c>
      <c r="AZ126" s="61"/>
      <c r="BA126" s="61"/>
      <c r="BB126" s="61"/>
      <c r="BC126" s="61"/>
      <c r="BD126" s="61"/>
      <c r="BE126" s="61"/>
      <c r="BF126" s="61"/>
      <c r="BG126" s="61"/>
      <c r="BH126" s="61"/>
      <c r="BI126" s="61"/>
      <c r="BJ126" s="61"/>
      <c r="BK126" s="61"/>
      <c r="BL126" s="61"/>
      <c r="BM126" s="61"/>
      <c r="BN126" s="61"/>
      <c r="BO126" s="61"/>
      <c r="BP126" s="61"/>
      <c r="BQ126" s="61"/>
      <c r="BR126" s="61"/>
    </row>
    <row r="127" ht="15.75" customHeight="1">
      <c r="A127" s="61" t="str">
        <f>IFERROR(__xludf.DUMMYFUNCTION("""COMPUTED_VALUE"""),"Self")</f>
        <v>Self</v>
      </c>
      <c r="B127" s="62">
        <f>IFERROR(__xludf.DUMMYFUNCTION("""COMPUTED_VALUE"""),148.0)</f>
        <v>148</v>
      </c>
      <c r="C127" s="61" t="str">
        <f>IFERROR(__xludf.DUMMYFUNCTION("""COMPUTED_VALUE"""),"Self")</f>
        <v>Self</v>
      </c>
      <c r="D127" s="63" t="str">
        <f>IFERROR(__xludf.DUMMYFUNCTION("""COMPUTED_VALUE"""),"Submitted")</f>
        <v>Submitted</v>
      </c>
      <c r="E127" s="63">
        <f>IFERROR(__xludf.DUMMYFUNCTION("""COMPUTED_VALUE"""),46208.90763888889)</f>
        <v>46208.90764</v>
      </c>
      <c r="F127" s="61" t="str">
        <f>IFERROR(__xludf.DUMMYFUNCTION("""COMPUTED_VALUE"""),"SADAF ZAMAN")</f>
        <v>SADAF ZAMAN</v>
      </c>
      <c r="G127" s="61" t="str">
        <f>IFERROR(__xludf.DUMMYFUNCTION("""COMPUTED_VALUE"""),"SADAF ZAMAN")</f>
        <v>SADAF ZAMAN</v>
      </c>
      <c r="H127" s="61" t="str">
        <f>IFERROR(__xludf.DUMMYFUNCTION("""COMPUTED_VALUE"""),"sadafzaman69@yahoo.com")</f>
        <v>sadafzaman69@yahoo.com</v>
      </c>
      <c r="I127" s="61" t="str">
        <f>IFERROR(__xludf.DUMMYFUNCTION("""COMPUTED_VALUE"""),"sadich69@gmail.com")</f>
        <v>sadich69@gmail.com</v>
      </c>
      <c r="J127" s="61" t="str">
        <f>IFERROR(__xludf.DUMMYFUNCTION("""COMPUTED_VALUE"""),"House no 112, Jasmine Block, Park view City Lahore, Lahore, Punjab, Pakistan")</f>
        <v>House no 112, Jasmine Block, Park view City Lahore, Lahore, Punjab, Pakistan</v>
      </c>
      <c r="K127" s="61" t="str">
        <f>IFERROR(__xludf.DUMMYFUNCTION("""COMPUTED_VALUE"""),"Pakistani")</f>
        <v>Pakistani</v>
      </c>
      <c r="L127" s="64" t="str">
        <f>IFERROR(__xludf.DUMMYFUNCTION("""COMPUTED_VALUE"""),"923476333150")</f>
        <v>923476333150</v>
      </c>
      <c r="M127" s="64">
        <f>IFERROR(__xludf.DUMMYFUNCTION("""COMPUTED_VALUE"""),34160.0)</f>
        <v>34160</v>
      </c>
      <c r="N127" s="61" t="str">
        <f>IFERROR(__xludf.DUMMYFUNCTION("""COMPUTED_VALUE"""),"CQ5202103")</f>
        <v>CQ5202103</v>
      </c>
      <c r="O127" s="61" t="str">
        <f>IFERROR(__xludf.DUMMYFUNCTION("""COMPUTED_VALUE"""),"923400033022")</f>
        <v>923400033022</v>
      </c>
      <c r="P127" s="61" t="str">
        <f>IFERROR(__xludf.DUMMYFUNCTION("""COMPUTED_VALUE"""),"nil")</f>
        <v>nil</v>
      </c>
      <c r="Q127" s="61" t="str">
        <f>IFERROR(__xludf.DUMMYFUNCTION("""COMPUTED_VALUE"""),"Sadafzamann")</f>
        <v>Sadafzamann</v>
      </c>
      <c r="R127" s="61" t="str">
        <f>IFERROR(__xludf.DUMMYFUNCTION("""COMPUTED_VALUE"""),"Sadaf Zaman")</f>
        <v>Sadaf Zaman</v>
      </c>
      <c r="S127" s="61" t="str">
        <f>IFERROR(__xludf.DUMMYFUNCTION("""COMPUTED_VALUE"""),"3e02bad6-4975-4430-9202-6270ea21e823.jpg")</f>
        <v>3e02bad6-4975-4430-9202-6270ea21e823.jpg</v>
      </c>
      <c r="T127" s="61" t="str">
        <f>IFERROR(__xludf.DUMMYFUNCTION("""COMPUTED_VALUE"""),"12.jpg")</f>
        <v>12.jpg</v>
      </c>
      <c r="U127" s="61" t="str">
        <f>IFERROR(__xludf.DUMMYFUNCTION("""COMPUTED_VALUE"""),"Law")</f>
        <v>Law</v>
      </c>
      <c r="V127" s="61" t="str">
        <f>IFERROR(__xludf.DUMMYFUNCTION("""COMPUTED_VALUE"""),"Law")</f>
        <v>Law</v>
      </c>
      <c r="W127" s="61" t="str">
        <f>IFERROR(__xludf.DUMMYFUNCTION("""COMPUTED_VALUE"""),"Taxation Law")</f>
        <v>Taxation Law</v>
      </c>
      <c r="X127" s="61" t="str">
        <f>IFERROR(__xludf.DUMMYFUNCTION("""COMPUTED_VALUE"""),"Punjab University law college")</f>
        <v>Punjab University law college</v>
      </c>
      <c r="Y127" s="61" t="str">
        <f>IFERROR(__xludf.DUMMYFUNCTION("""COMPUTED_VALUE"""),"No")</f>
        <v>No</v>
      </c>
      <c r="Z127" s="61" t="str">
        <f>IFERROR(__xludf.DUMMYFUNCTION("""COMPUTED_VALUE"""),"Pakistan")</f>
        <v>Pakistan</v>
      </c>
      <c r="AA127" s="61" t="str">
        <f>IFERROR(__xludf.DUMMYFUNCTION("""COMPUTED_VALUE"""),"Yes")</f>
        <v>Yes</v>
      </c>
      <c r="AB127" s="61" t="str">
        <f>IFERROR(__xludf.DUMMYFUNCTION("""COMPUTED_VALUE"""),"Augustana University, USA")</f>
        <v>Augustana University, USA</v>
      </c>
      <c r="AC127" s="61" t="str">
        <f>IFERROR(__xludf.DUMMYFUNCTION("""COMPUTED_VALUE"""),"Yes")</f>
        <v>Yes</v>
      </c>
      <c r="AD127" s="61" t="str">
        <f>IFERROR(__xludf.DUMMYFUNCTION("""COMPUTED_VALUE"""),"no")</f>
        <v>no</v>
      </c>
      <c r="AE127" s="61"/>
      <c r="AF127" s="61"/>
      <c r="AG127" s="61"/>
      <c r="AH127" s="61" t="str">
        <f>IFERROR(__xludf.DUMMYFUNCTION("""COMPUTED_VALUE"""),"No")</f>
        <v>No</v>
      </c>
      <c r="AI127" s="61"/>
      <c r="AJ127" s="61"/>
      <c r="AK127" s="61"/>
      <c r="AL127" s="61"/>
      <c r="AM127" s="61" t="str">
        <f>IFERROR(__xludf.DUMMYFUNCTION("""COMPUTED_VALUE"""),"Curriculum Vitae.docx")</f>
        <v>Curriculum Vitae.docx</v>
      </c>
      <c r="AN127" s="61" t="str">
        <f>IFERROR(__xludf.DUMMYFUNCTION("""COMPUTED_VALUE"""),"Being a public administrator in local government department, I tried to help out impoverished an deprived women by ensuring laws support equal property rights for spouses. I also worked with international organization to draft laws to improve registration"&amp;" and documentation systems of marriage.It helped to prevent fraud, forced marriages, or denial of rights. We also ensured women have access to official documents (marriage certificates, identity records), which are often needed for legal protection.")</f>
        <v>Being a public administrator in local government department, I tried to help out impoverished an deprived women by ensuring laws support equal property rights for spouses. I also worked with international organization to draft laws to improve registration and documentation systems of marriage.It helped to prevent fraud, forced marriages, or denial of rights. We also ensured women have access to official documents (marriage certificates, identity records), which are often needed for legal protection.</v>
      </c>
      <c r="AO127" s="61" t="str">
        <f>IFERROR(__xludf.DUMMYFUNCTION("""COMPUTED_VALUE"""),"Pakistan plays an important role as a diplomatically significant country due to its strategic location, nuclear capability, large population, and involvement in regional and global political affairs. Its foreign policy is largely shaped by geography, secu"&amp;"rity concerns, economic priorities, and relationships with major world powers.")</f>
        <v>Pakistan plays an important role as a diplomatically significant country due to its strategic location, nuclear capability, large population, and involvement in regional and global political affairs. Its foreign policy is largely shaped by geography, security concerns, economic priorities, and relationships with major world powers.</v>
      </c>
      <c r="AP127" s="61" t="str">
        <f>IFERROR(__xludf.DUMMYFUNCTION("""COMPUTED_VALUE"""),"Youth plays a growing and important role in diplomacy because modern international relations are no longer shaped only by governments—they are also influenced by people-to-people connections, culture, technology, and public opinion. The role of youth in c"&amp;"ultural Diplomacy and Image Building is important as breaking stereotypes through personal interactions.Youth are the most active users of digital platforms. Hence, Digital and Social Media Diplomacy can help in Peacebuilding and Conflict Resolution.")</f>
        <v>Youth plays a growing and important role in diplomacy because modern international relations are no longer shaped only by governments—they are also influenced by people-to-people connections, culture, technology, and public opinion. The role of youth in cultural Diplomacy and Image Building is important as breaking stereotypes through personal interactions.Youth are the most active users of digital platforms. Hence, Digital and Social Media Diplomacy can help in Peacebuilding and Conflict Resolution.</v>
      </c>
      <c r="AQ127" s="61" t="str">
        <f>IFERROR(__xludf.DUMMYFUNCTION("""COMPUTED_VALUE"""),"Passion is a strong feeling of enthusiasm, interest, or love for something you care deeply about. It is what drives you to spend time, energy, and effort on an activity even when it is difficult or requires patience. Passion helps me in achieving goals by"&amp;" giving me motivation and makes it easier to stay consistent. Goals often come with failures and setbacks. Passion helps me continue even when things get difficult. Passion keeps my attention on what matters. It reduces distractions when you are passionat"&amp;"e, I m more likely to learn new skill and seek improvement. This accelerates personal development. Success takes time. Passion helps me stay committed for years, not just days or weeks. Passion is the inner drive that turns goals into action. It helps me "&amp;"stay motivated, overcome challenges, and grow continuously. When combined with discipline and planning, passion becomes a powerful force for achieving success.")</f>
        <v>Passion is a strong feeling of enthusiasm, interest, or love for something you care deeply about. It is what drives you to spend time, energy, and effort on an activity even when it is difficult or requires patience. Passion helps me in achieving goals by giving me motivation and makes it easier to stay consistent. Goals often come with failures and setbacks. Passion helps me continue even when things get difficult. Passion keeps my attention on what matters. It reduces distractions when you are passionate, I m more likely to learn new skill and seek improvement. This accelerates personal development. Success takes time. Passion helps me stay committed for years, not just days or weeks. Passion is the inner drive that turns goals into action. It helps me stay motivated, overcome challenges, and grow continuously. When combined with discipline and planning, passion becomes a powerful force for achieving success.</v>
      </c>
      <c r="AR127" s="61" t="str">
        <f>IFERROR(__xludf.DUMMYFUNCTION("""COMPUTED_VALUE"""),"An effective diplomatic strategy is built by combining clear goals, strong institutions, economic engagement, soft power, and skilled negotiation. It requires long-term vision and adaptability to changing global conditions. We should  first identify what "&amp;"we wants to achieve through diplomacy, such as dialogue on economic growth and trade expansion,regional influence and cooperation,cultural and educational exchange Without clear priorities, diplomacy becomes reactive and inconsistent. Effective strategy r"&amp;"equires deep analysis of power dynamics (major powers and alliances), conflicts and opportunities ,International laws and institutions This helps predict challenges and opportunities.A successful strategy depends on capable institutions like Specialized d"&amp;"iplomatic training academies Skilled diplomats ensure policies are implemented effectively abroad. Diplomacy works at two levels:Bilateral: Direct relations with individuals and Multilateral engagement.Balancing both helps increase influence and cooperati"&amp;"on.Economic strength increases diplomatic influence.Soft power helps shape global perception through,Culture, education, media and public diplomacy This builds trust and reduces hostility.
________________________________________")</f>
        <v>An effective diplomatic strategy is built by combining clear goals, strong institutions, economic engagement, soft power, and skilled negotiation. It requires long-term vision and adaptability to changing global conditions. We should  first identify what we wants to achieve through diplomacy, such as dialogue on economic growth and trade expansion,regional influence and cooperation,cultural and educational exchange Without clear priorities, diplomacy becomes reactive and inconsistent. Effective strategy requires deep analysis of power dynamics (major powers and alliances), conflicts and opportunities ,International laws and institutions This helps predict challenges and opportunities.A successful strategy depends on capable institutions like Specialized diplomatic training academies Skilled diplomats ensure policies are implemented effectively abroad. Diplomacy works at two levels:Bilateral: Direct relations with individuals and Multilateral engagement.Balancing both helps increase influence and cooperation.Economic strength increases diplomatic influence.Soft power helps shape global perception through,Culture, education, media and public diplomacy This builds trust and reduces hostility.
________________________________________</v>
      </c>
      <c r="AS127" s="61" t="str">
        <f>IFERROR(__xludf.DUMMYFUNCTION("""COMPUTED_VALUE"""),"Yes")</f>
        <v>Yes</v>
      </c>
      <c r="AT127" s="61" t="str">
        <f>IFERROR(__xludf.DUMMYFUNCTION("""COMPUTED_VALUE"""),"Yes")</f>
        <v>Yes</v>
      </c>
      <c r="AU127" s="61" t="str">
        <f>IFERROR(__xludf.DUMMYFUNCTION("""COMPUTED_VALUE"""),"Strategy, Peace &amp; Cultural Diplomacy")</f>
        <v>Strategy, Peace &amp; Cultural Diplomacy</v>
      </c>
      <c r="AV127" s="61" t="str">
        <f>IFERROR(__xludf.DUMMYFUNCTION("""COMPUTED_VALUE"""),"Website")</f>
        <v>Website</v>
      </c>
      <c r="AW127" s="61" t="str">
        <f>IFERROR(__xludf.DUMMYFUNCTION("""COMPUTED_VALUE"""),"Responsible Leadership Towards Sustainable Development")</f>
        <v>Responsible Leadership Towards Sustainable Development</v>
      </c>
      <c r="AX127" s="66" t="str">
        <f>IFERROR(__xludf.DUMMYFUNCTION("""COMPUTED_VALUE"""),"Yes")</f>
        <v>Yes</v>
      </c>
      <c r="AY127" s="66">
        <f>IFERROR(__xludf.DUMMYFUNCTION("""COMPUTED_VALUE"""),15.99)</f>
        <v>15.99</v>
      </c>
      <c r="AZ127" s="61"/>
      <c r="BA127" s="61"/>
      <c r="BB127" s="61"/>
      <c r="BC127" s="61"/>
      <c r="BD127" s="61"/>
      <c r="BE127" s="61"/>
      <c r="BF127" s="61"/>
      <c r="BG127" s="61"/>
      <c r="BH127" s="61"/>
      <c r="BI127" s="61"/>
      <c r="BJ127" s="61"/>
      <c r="BK127" s="61"/>
      <c r="BL127" s="61"/>
      <c r="BM127" s="61"/>
      <c r="BN127" s="61"/>
      <c r="BO127" s="61"/>
      <c r="BP127" s="61"/>
      <c r="BQ127" s="61"/>
      <c r="BR127" s="61"/>
    </row>
    <row r="128" ht="15.75" customHeight="1">
      <c r="A128" s="61" t="str">
        <f>IFERROR(__xludf.DUMMYFUNCTION("""COMPUTED_VALUE"""),"Partial/Full")</f>
        <v>Partial/Full</v>
      </c>
      <c r="B128" s="62">
        <f>IFERROR(__xludf.DUMMYFUNCTION("""COMPUTED_VALUE"""),149.0)</f>
        <v>149</v>
      </c>
      <c r="C128" s="61" t="str">
        <f>IFERROR(__xludf.DUMMYFUNCTION("""COMPUTED_VALUE"""),"Partial")</f>
        <v>Partial</v>
      </c>
      <c r="D128" s="63" t="str">
        <f>IFERROR(__xludf.DUMMYFUNCTION("""COMPUTED_VALUE"""),"Submitted")</f>
        <v>Submitted</v>
      </c>
      <c r="E128" s="63">
        <f>IFERROR(__xludf.DUMMYFUNCTION("""COMPUTED_VALUE"""),46208.91944444444)</f>
        <v>46208.91944</v>
      </c>
      <c r="F128" s="61" t="str">
        <f>IFERROR(__xludf.DUMMYFUNCTION("""COMPUTED_VALUE"""),"SANAM ZAFAR")</f>
        <v>SANAM ZAFAR</v>
      </c>
      <c r="G128" s="61" t="str">
        <f>IFERROR(__xludf.DUMMYFUNCTION("""COMPUTED_VALUE"""),"SANAM ZAFAR")</f>
        <v>SANAM ZAFAR</v>
      </c>
      <c r="H128" s="61" t="str">
        <f>IFERROR(__xludf.DUMMYFUNCTION("""COMPUTED_VALUE"""),"sanamzafar01@gmail.com")</f>
        <v>sanamzafar01@gmail.com</v>
      </c>
      <c r="I128" s="61" t="str">
        <f>IFERROR(__xludf.DUMMYFUNCTION("""COMPUTED_VALUE"""),"sanamzafar01@yahoo.com")</f>
        <v>sanamzafar01@yahoo.com</v>
      </c>
      <c r="J128" s="61" t="str">
        <f>IFERROR(__xludf.DUMMYFUNCTION("""COMPUTED_VALUE"""),"HOUSE NO 29 STREET NO 03 SECTOR F DEFENCE HOUSING AUTHORITY PHASE 2 ISLAMABAD, ISLAMABAD, Pakistan")</f>
        <v>HOUSE NO 29 STREET NO 03 SECTOR F DEFENCE HOUSING AUTHORITY PHASE 2 ISLAMABAD, ISLAMABAD, Pakistan</v>
      </c>
      <c r="K128" s="61" t="str">
        <f>IFERROR(__xludf.DUMMYFUNCTION("""COMPUTED_VALUE"""),"PAKISTAN")</f>
        <v>PAKISTAN</v>
      </c>
      <c r="L128" s="64" t="str">
        <f>IFERROR(__xludf.DUMMYFUNCTION("""COMPUTED_VALUE"""),"+923320984531")</f>
        <v>+923320984531</v>
      </c>
      <c r="M128" s="64">
        <f>IFERROR(__xludf.DUMMYFUNCTION("""COMPUTED_VALUE"""),32201.0)</f>
        <v>32201</v>
      </c>
      <c r="N128" s="61" t="str">
        <f>IFERROR(__xludf.DUMMYFUNCTION("""COMPUTED_VALUE"""),"CX5527292")</f>
        <v>CX5527292</v>
      </c>
      <c r="O128" s="61" t="str">
        <f>IFERROR(__xludf.DUMMYFUNCTION("""COMPUTED_VALUE"""),"03356644997")</f>
        <v>03356644997</v>
      </c>
      <c r="P128" s="61"/>
      <c r="Q128" s="61"/>
      <c r="R128" s="61"/>
      <c r="S128" s="61" t="str">
        <f>IFERROR(__xludf.DUMMYFUNCTION("""COMPUTED_VALUE"""),"Passport (2).pdf")</f>
        <v>Passport (2).pdf</v>
      </c>
      <c r="T128" s="61" t="str">
        <f>IFERROR(__xludf.DUMMYFUNCTION("""COMPUTED_VALUE"""),"PHOTO (1).png")</f>
        <v>PHOTO (1).png</v>
      </c>
      <c r="U128" s="61" t="str">
        <f>IFERROR(__xludf.DUMMYFUNCTION("""COMPUTED_VALUE"""),"MASTERS")</f>
        <v>MASTERS</v>
      </c>
      <c r="V128" s="61" t="str">
        <f>IFERROR(__xludf.DUMMYFUNCTION("""COMPUTED_VALUE"""),"MASTERS OF BUSINESS ADMINISTRATION (MBA)")</f>
        <v>MASTERS OF BUSINESS ADMINISTRATION (MBA)</v>
      </c>
      <c r="W128" s="61" t="str">
        <f>IFERROR(__xludf.DUMMYFUNCTION("""COMPUTED_VALUE"""),"FINANCE")</f>
        <v>FINANCE</v>
      </c>
      <c r="X128" s="61" t="str">
        <f>IFERROR(__xludf.DUMMYFUNCTION("""COMPUTED_VALUE"""),"FATIMA JINNAH WOMEN UNIVERSITY, RAWALPINDI")</f>
        <v>FATIMA JINNAH WOMEN UNIVERSITY, RAWALPINDI</v>
      </c>
      <c r="Y128" s="61" t="str">
        <f>IFERROR(__xludf.DUMMYFUNCTION("""COMPUTED_VALUE"""),"No")</f>
        <v>No</v>
      </c>
      <c r="Z128" s="61" t="str">
        <f>IFERROR(__xludf.DUMMYFUNCTION("""COMPUTED_VALUE"""),"PAKISTAN")</f>
        <v>PAKISTAN</v>
      </c>
      <c r="AA128" s="61" t="str">
        <f>IFERROR(__xludf.DUMMYFUNCTION("""COMPUTED_VALUE"""),"No")</f>
        <v>No</v>
      </c>
      <c r="AB128" s="61"/>
      <c r="AC128" s="61"/>
      <c r="AD128" s="61" t="str">
        <f>IFERROR(__xludf.DUMMYFUNCTION("""COMPUTED_VALUE"""),"ACTION AGAINST HUNGER PAKISTAN")</f>
        <v>ACTION AGAINST HUNGER PAKISTAN</v>
      </c>
      <c r="AE128" s="61"/>
      <c r="AF128" s="61" t="str">
        <f>IFERROR(__xludf.DUMMYFUNCTION("""COMPUTED_VALUE"""),"VOLUNTEER")</f>
        <v>VOLUNTEER</v>
      </c>
      <c r="AG128" s="61"/>
      <c r="AH128" s="61" t="str">
        <f>IFERROR(__xludf.DUMMYFUNCTION("""COMPUTED_VALUE"""),"No")</f>
        <v>No</v>
      </c>
      <c r="AI128" s="61"/>
      <c r="AJ128" s="61" t="str">
        <f>IFERROR(__xludf.DUMMYFUNCTION("""COMPUTED_VALUE"""),"YOUTH MINDS")</f>
        <v>YOUTH MINDS</v>
      </c>
      <c r="AK128" s="61" t="str">
        <f>IFERROR(__xludf.DUMMYFUNCTION("""COMPUTED_VALUE"""),"The Youth Minds Organization was established with the main purpose of developing and mentoring young people and nurturing their talents by emphasizing Education, Leadership, Innovation and Community Service. We endeavor to nurture the physical, emotional "&amp;"and spiritual growth of youth through skill development, training, mentoring and volunteer work in order to develop competent, caring and resilient young leaders that give back to society and build sustainable development.")</f>
        <v>The Youth Minds Organization was established with the main purpose of developing and mentoring young people and nurturing their talents by emphasizing Education, Leadership, Innovation and Community Service. We endeavor to nurture the physical, emotional and spiritual growth of youth through skill development, training, mentoring and volunteer work in order to develop competent, caring and resilient young leaders that give back to society and build sustainable development.</v>
      </c>
      <c r="AL128" s="61" t="str">
        <f>IFERROR(__xludf.DUMMYFUNCTION("""COMPUTED_VALUE"""),"DIGITAL PROFESSIONAL")</f>
        <v>DIGITAL PROFESSIONAL</v>
      </c>
      <c r="AM128" s="61" t="str">
        <f>IFERROR(__xludf.DUMMYFUNCTION("""COMPUTED_VALUE"""),"Sanam_Zafar_Resume.pdf")</f>
        <v>Sanam_Zafar_Resume.pdf</v>
      </c>
      <c r="AN128" s="61" t="str">
        <f>IFERROR(__xludf.DUMMYFUNCTION("""COMPUTED_VALUE"""),"Yes. And it’s something that I do believe, in many instances, small, concerted effort that, you know, not waiting for the big thing. But rather on how it can, how I can be able to aid, assist people within my circle, within my community. I have supported "&amp;"children to facilitate their education. I have facilitated my peers, to mentor them, or to help them in many ways. So you know, with my capacity as you mentioned, of how I’m able to contribute. I always try to give. I try to share knowledge with people in"&amp;" community. I always try to ensure responsible consumption of resources, collaboration as well. Therefore, it is an effort that starts from, as you’ve said, from the individuals, that you must, you have to serve. But I intend to grow these efforts by real"&amp;"ly leveraging the tools and talents that I have to be able to provide and offer to the community.")</f>
        <v>Yes. And it’s something that I do believe, in many instances, small, concerted effort that, you know, not waiting for the big thing. But rather on how it can, how I can be able to aid, assist people within my circle, within my community. I have supported children to facilitate their education. I have facilitated my peers, to mentor them, or to help them in many ways. So you know, with my capacity as you mentioned, of how I’m able to contribute. I always try to give. I try to share knowledge with people in community. I always try to ensure responsible consumption of resources, collaboration as well. Therefore, it is an effort that starts from, as you’ve said, from the individuals, that you must, you have to serve. But I intend to grow these efforts by really leveraging the tools and talents that I have to be able to provide and offer to the community.</v>
      </c>
      <c r="AO128" s="61" t="str">
        <f>IFERROR(__xludf.DUMMYFUNCTION("""COMPUTED_VALUE"""),"A diplomatically important country is a country that has a key position and active role in ensuring the world peace, maintaining the international cooperation and contributing to the formulation of international policies. Countries like United States of A"&amp;"merica, China, Russia, United Kingdom, and France matter as a result of their economic capacity, political power and their contribution and activities in various international institutions. These countries are frequently active mediators in disputes and h"&amp;"ave considerable ability to negotiate with different nations over trades and provide global security and they actively participate in maintaining global cooperation and facilitate the developing process of world economies and many other things of the glob"&amp;"al world. But it can be not denied that military and economic powers are important factors for the country being diplomatic but more importantly countries can develop their power of dialogue and their relation to the others and this diplomatic power of a "&amp;"country makes it diplomatic by nature as it builds partnership and helps people solve the issues related to human well-being.")</f>
        <v>A diplomatically important country is a country that has a key position and active role in ensuring the world peace, maintaining the international cooperation and contributing to the formulation of international policies. Countries like United States of America, China, Russia, United Kingdom, and France matter as a result of their economic capacity, political power and their contribution and activities in various international institutions. These countries are frequently active mediators in disputes and have considerable ability to negotiate with different nations over trades and provide global security and they actively participate in maintaining global cooperation and facilitate the developing process of world economies and many other things of the global world. But it can be not denied that military and economic powers are important factors for the country being diplomatic but more importantly countries can develop their power of dialogue and their relation to the others and this diplomatic power of a country makes it diplomatic by nature as it builds partnership and helps people solve the issues related to human well-being.</v>
      </c>
      <c r="AP128" s="61" t="str">
        <f>IFERROR(__xludf.DUMMYFUNCTION("""COMPUTED_VALUE"""),"The youth are integral to Diplomacy as they are able to bridge cultures between individuals from different backgrounds and nationalities and encourage the development of dialogues as well as contribute new viewpoints to world issues. Due to modern technol"&amp;"ogies and use of social media they are capable to break the barriers between borders to confront negative stereotypes, to encourage cultural dialogue and to nurture an appreciation for values, cultures and religions of other nations. By taking part in pro"&amp;"jects such as: the development of educational or cultural exchanges, activities focusing on environmental actions, innovativeness projects, volunteering, or peacekeeping initiatives, they can truly be cultural and diplomatic ambassadors. 
I personally fin"&amp;"d the ideas of Public diplomacy as one method for the public to be engaged in the process of international relations instead of depending solely on national government and decision maker to direct the international relation activities. Diplomacy is an act"&amp;"ivity intended to create a lasting relationship of friendship and trust between nations through a range of instruments that range from exchanging students to television broadcast that are used for promoting understanding and goodwill. 
Technology, as this"&amp;" new technological generation can greatly encourage the role of Youth as effective participants of Public diplomacy by using the social platforms as to share the knowledge to their peers and create global knowledge regarding global issue. Every time they "&amp;"meet with different individuals they have opportunity to increase world understanding. This can all be achieved if they maintain an open attitude, to respect others' individualities, values, cultures and religions and take part in various community and wo"&amp;"rld projects in this case building world peace as youth are not the representatives of diplomacy but it already play the role in forming a harmonious and globalised world via Public Diplomacy.")</f>
        <v>The youth are integral to Diplomacy as they are able to bridge cultures between individuals from different backgrounds and nationalities and encourage the development of dialogues as well as contribute new viewpoints to world issues. Due to modern technologies and use of social media they are capable to break the barriers between borders to confront negative stereotypes, to encourage cultural dialogue and to nurture an appreciation for values, cultures and religions of other nations. By taking part in projects such as: the development of educational or cultural exchanges, activities focusing on environmental actions, innovativeness projects, volunteering, or peacekeeping initiatives, they can truly be cultural and diplomatic ambassadors. 
I personally find the ideas of Public diplomacy as one method for the public to be engaged in the process of international relations instead of depending solely on national government and decision maker to direct the international relation activities. Diplomacy is an activity intended to create a lasting relationship of friendship and trust between nations through a range of instruments that range from exchanging students to television broadcast that are used for promoting understanding and goodwill. 
Technology, as this new technological generation can greatly encourage the role of Youth as effective participants of Public diplomacy by using the social platforms as to share the knowledge to their peers and create global knowledge regarding global issue. Every time they meet with different individuals they have opportunity to increase world understanding. This can all be achieved if they maintain an open attitude, to respect others' individualities, values, cultures and religions and take part in various community and world projects in this case building world peace as youth are not the representatives of diplomacy but it already play the role in forming a harmonious and globalised world via Public Diplomacy.</v>
      </c>
      <c r="AQ128" s="61" t="str">
        <f>IFERROR(__xludf.DUMMYFUNCTION("""COMPUTED_VALUE"""),"Passion means intense enthusiasm for something or great love. You dont simply enjoy something when you are a passionate person - rather you are deeply committed and you believe in its cause regardless of money or recognition. When a person is passionate, "&amp;"they receive tremendous energy and desire which helps the person tirelessly push forward through challenging situations and boring tasks. The role of passion enables you to execute and fulfill your goals in the best possible way. Passion enables you to be"&amp;" very persistent. Passion enables you to succeed as much as you desire, especially by not quitting when you face any hardship or when a challenge arises since the individual would feel more pressure to keep going. Therefore, passion provides us with the h"&amp;"ighest of discipline. Also, passion enables one to focus better. Passion leads an individual to concentrate on what they are enthusiastic about, by having a consistent and strong desire to acquire deep knowledge on the subjects. Additionally, a person who"&amp;" is driven by their passion for something will be motivated to be imaginative. Moreover, innovation andcreative problem solving is fostered when passion comes into the picture. All the passion we possess drives us to achieve a goal.")</f>
        <v>Passion means intense enthusiasm for something or great love. You dont simply enjoy something when you are a passionate person - rather you are deeply committed and you believe in its cause regardless of money or recognition. When a person is passionate, they receive tremendous energy and desire which helps the person tirelessly push forward through challenging situations and boring tasks. The role of passion enables you to execute and fulfill your goals in the best possible way. Passion enables you to be very persistent. Passion enables you to succeed as much as you desire, especially by not quitting when you face any hardship or when a challenge arises since the individual would feel more pressure to keep going. Therefore, passion provides us with the highest of discipline. Also, passion enables one to focus better. Passion leads an individual to concentrate on what they are enthusiastic about, by having a consistent and strong desire to acquire deep knowledge on the subjects. Additionally, a person who is driven by their passion for something will be motivated to be imaginative. Moreover, innovation andcreative problem solving is fostered when passion comes into the picture. All the passion we possess drives us to achieve a goal.</v>
      </c>
      <c r="AR128" s="61" t="str">
        <f>IFERROR(__xludf.DUMMYFUNCTION("""COMPUTED_VALUE"""),"I generate and recombine and transform ideas in ways that often seem innovative, I can now be leveraged to build an effective public diplomacy strategy for communication design, translation and strategy telling. I help government, organizations, and insti"&amp;"tutions to develop and translate messages across cultural and linguist barriers I understand target audiences and frame the messaging accordingly adapting tone for different regions. I am able to predict responses to the messaging as a simulation which al"&amp;"lows for a better understanding for diplomacy in the way that communications can be refined before they are launched. 
Furthermore I can be used to facilitate soft power and create culturally specific narratives that highlight common ground, assist in ana"&amp;"lysing vast data and understanding the broader conversations being discussed and responded to with greater responsiveness. 
When used responsibly, I do not seek to replace the human role of the diplomat but to complement and extend our thinking by providi"&amp;"ng quick and comprehensive analysis of vast swathes of information and enabling quick response times and improved understanding across broad global audiences. Through AI support, communication will be more adaptable, informed by data and culture while at "&amp;"the same time be more efficient and forward thinking on a Global scale.")</f>
        <v>I generate and recombine and transform ideas in ways that often seem innovative, I can now be leveraged to build an effective public diplomacy strategy for communication design, translation and strategy telling. I help government, organizations, and institutions to develop and translate messages across cultural and linguist barriers I understand target audiences and frame the messaging accordingly adapting tone for different regions. I am able to predict responses to the messaging as a simulation which allows for a better understanding for diplomacy in the way that communications can be refined before they are launched. 
Furthermore I can be used to facilitate soft power and create culturally specific narratives that highlight common ground, assist in analysing vast data and understanding the broader conversations being discussed and responded to with greater responsiveness. 
When used responsibly, I do not seek to replace the human role of the diplomat but to complement and extend our thinking by providing quick and comprehensive analysis of vast swathes of information and enabling quick response times and improved understanding across broad global audiences. Through AI support, communication will be more adaptable, informed by data and culture while at the same time be more efficient and forward thinking on a Global scale.</v>
      </c>
      <c r="AS128" s="61" t="str">
        <f>IFERROR(__xludf.DUMMYFUNCTION("""COMPUTED_VALUE"""),"Yes")</f>
        <v>Yes</v>
      </c>
      <c r="AT128" s="61" t="str">
        <f>IFERROR(__xludf.DUMMYFUNCTION("""COMPUTED_VALUE"""),"Yes")</f>
        <v>Yes</v>
      </c>
      <c r="AU128" s="61" t="str">
        <f>IFERROR(__xludf.DUMMYFUNCTION("""COMPUTED_VALUE"""),"Global Politics, Diplomacy &amp; Identities")</f>
        <v>Global Politics, Diplomacy &amp; Identities</v>
      </c>
      <c r="AV128" s="61" t="str">
        <f>IFERROR(__xludf.DUMMYFUNCTION("""COMPUTED_VALUE"""),"Scholarships Portal")</f>
        <v>Scholarships Portal</v>
      </c>
      <c r="AW128" s="61" t="str">
        <f>IFERROR(__xludf.DUMMYFUNCTION("""COMPUTED_VALUE"""),"Public Diplomacy in the 21st Century")</f>
        <v>Public Diplomacy in the 21st Century</v>
      </c>
      <c r="AX128" s="66" t="str">
        <f>IFERROR(__xludf.DUMMYFUNCTION("""COMPUTED_VALUE"""),"Yes")</f>
        <v>Yes</v>
      </c>
      <c r="AY128" s="66">
        <f>IFERROR(__xludf.DUMMYFUNCTION("""COMPUTED_VALUE"""),15.99)</f>
        <v>15.99</v>
      </c>
      <c r="AZ128" s="61"/>
      <c r="BA128" s="61"/>
      <c r="BB128" s="61"/>
      <c r="BC128" s="61"/>
      <c r="BD128" s="61"/>
      <c r="BE128" s="61"/>
      <c r="BF128" s="61"/>
      <c r="BG128" s="61"/>
      <c r="BH128" s="61"/>
      <c r="BI128" s="61"/>
      <c r="BJ128" s="61"/>
      <c r="BK128" s="61"/>
      <c r="BL128" s="61"/>
      <c r="BM128" s="61"/>
      <c r="BN128" s="61"/>
      <c r="BO128" s="61"/>
      <c r="BP128" s="61"/>
      <c r="BQ128" s="61"/>
      <c r="BR128" s="61"/>
    </row>
    <row r="129" ht="15.75" customHeight="1">
      <c r="A129" s="61" t="str">
        <f>IFERROR(__xludf.DUMMYFUNCTION("""COMPUTED_VALUE"""),"")</f>
        <v/>
      </c>
      <c r="B129" s="62">
        <f>IFERROR(__xludf.DUMMYFUNCTION("""COMPUTED_VALUE"""),151.0)</f>
        <v>151</v>
      </c>
      <c r="C129" s="61" t="str">
        <f>IFERROR(__xludf.DUMMYFUNCTION("""COMPUTED_VALUE"""),"Self")</f>
        <v>Self</v>
      </c>
      <c r="D129" s="63" t="str">
        <f>IFERROR(__xludf.DUMMYFUNCTION("""COMPUTED_VALUE"""),"Submitted")</f>
        <v>Submitted</v>
      </c>
      <c r="E129" s="63">
        <f>IFERROR(__xludf.DUMMYFUNCTION("""COMPUTED_VALUE"""),46208.94375)</f>
        <v>46208.94375</v>
      </c>
      <c r="F129" s="61" t="str">
        <f>IFERROR(__xludf.DUMMYFUNCTION("""COMPUTED_VALUE"""),"Mena Zewdu Mersha")</f>
        <v>Mena Zewdu Mersha</v>
      </c>
      <c r="G129" s="61" t="str">
        <f>IFERROR(__xludf.DUMMYFUNCTION("""COMPUTED_VALUE"""),"Mena Zewdu Mersha")</f>
        <v>Mena Zewdu Mersha</v>
      </c>
      <c r="H129" s="61" t="str">
        <f>IFERROR(__xludf.DUMMYFUNCTION("""COMPUTED_VALUE"""),"menazewdumersha@gmail.com")</f>
        <v>menazewdumersha@gmail.com</v>
      </c>
      <c r="I129" s="61" t="str">
        <f>IFERROR(__xludf.DUMMYFUNCTION("""COMPUTED_VALUE"""),"mazysus2203@gmail.com")</f>
        <v>mazysus2203@gmail.com</v>
      </c>
      <c r="J129" s="61" t="str">
        <f>IFERROR(__xludf.DUMMYFUNCTION("""COMPUTED_VALUE"""),"Örnek Mahllesi, Ayçe sokak No: 4, Dişkapı/ Altındağ/ Ankara, Ankara, Türkiye")</f>
        <v>Örnek Mahllesi, Ayçe sokak No: 4, Dişkapı/ Altındağ/ Ankara, Ankara, Türkiye</v>
      </c>
      <c r="K129" s="61" t="str">
        <f>IFERROR(__xludf.DUMMYFUNCTION("""COMPUTED_VALUE"""),"Ethiopian")</f>
        <v>Ethiopian</v>
      </c>
      <c r="L129" s="64" t="str">
        <f>IFERROR(__xludf.DUMMYFUNCTION("""COMPUTED_VALUE"""),"+90 5011319603")</f>
        <v>+90 5011319603</v>
      </c>
      <c r="M129" s="64">
        <f>IFERROR(__xludf.DUMMYFUNCTION("""COMPUTED_VALUE"""),37793.0)</f>
        <v>37793</v>
      </c>
      <c r="N129" s="61" t="str">
        <f>IFERROR(__xludf.DUMMYFUNCTION("""COMPUTED_VALUE"""),"EQ2330547")</f>
        <v>EQ2330547</v>
      </c>
      <c r="O129" s="61" t="str">
        <f>IFERROR(__xludf.DUMMYFUNCTION("""COMPUTED_VALUE"""),"+90 537 036 54 94")</f>
        <v>+90 537 036 54 94</v>
      </c>
      <c r="P129" s="65" t="str">
        <f>IFERROR(__xludf.DUMMYFUNCTION("""COMPUTED_VALUE"""),"www.linkedin.com/in/mena-zewdu-mersha-648630280")</f>
        <v>www.linkedin.com/in/mena-zewdu-mersha-648630280</v>
      </c>
      <c r="Q129" s="67" t="str">
        <f>IFERROR(__xludf.DUMMYFUNCTION("""COMPUTED_VALUE"""),"https://www.instagram.com/menamersha?igsh=YjhhcHgzMmNsZThu")</f>
        <v>https://www.instagram.com/menamersha?igsh=YjhhcHgzMmNsZThu</v>
      </c>
      <c r="R129" s="61"/>
      <c r="S129" s="61" t="str">
        <f>IFERROR(__xludf.DUMMYFUNCTION("""COMPUTED_VALUE"""),"Mena Zewdu Passport.pdf")</f>
        <v>Mena Zewdu Passport.pdf</v>
      </c>
      <c r="T129" s="61" t="str">
        <f>IFERROR(__xludf.DUMMYFUNCTION("""COMPUTED_VALUE"""),"WhatsApp Image 2026-01-01 at 18.26.37.jpeg")</f>
        <v>WhatsApp Image 2026-01-01 at 18.26.37.jpeg</v>
      </c>
      <c r="U129" s="61" t="str">
        <f>IFERROR(__xludf.DUMMYFUNCTION("""COMPUTED_VALUE"""),"Bachelor's Degree")</f>
        <v>Bachelor's Degree</v>
      </c>
      <c r="V129" s="61" t="str">
        <f>IFERROR(__xludf.DUMMYFUNCTION("""COMPUTED_VALUE"""),"International Relations")</f>
        <v>International Relations</v>
      </c>
      <c r="W129" s="61"/>
      <c r="X129" s="61" t="str">
        <f>IFERROR(__xludf.DUMMYFUNCTION("""COMPUTED_VALUE"""),"Ankara University")</f>
        <v>Ankara University</v>
      </c>
      <c r="Y129" s="61" t="str">
        <f>IFERROR(__xludf.DUMMYFUNCTION("""COMPUTED_VALUE"""),"Yes")</f>
        <v>Yes</v>
      </c>
      <c r="Z129" s="61" t="str">
        <f>IFERROR(__xludf.DUMMYFUNCTION("""COMPUTED_VALUE"""),"Türkiye")</f>
        <v>Türkiye</v>
      </c>
      <c r="AA129" s="61" t="str">
        <f>IFERROR(__xludf.DUMMYFUNCTION("""COMPUTED_VALUE"""),"No")</f>
        <v>No</v>
      </c>
      <c r="AB129" s="61"/>
      <c r="AC129" s="61" t="str">
        <f>IFERROR(__xludf.DUMMYFUNCTION("""COMPUTED_VALUE"""),"Yes")</f>
        <v>Yes</v>
      </c>
      <c r="AD129" s="61" t="str">
        <f>IFERROR(__xludf.DUMMYFUNCTION("""COMPUTED_VALUE"""),"Educational Equality Institute")</f>
        <v>Educational Equality Institute</v>
      </c>
      <c r="AE129" s="61"/>
      <c r="AF129" s="61" t="str">
        <f>IFERROR(__xludf.DUMMYFUNCTION("""COMPUTED_VALUE"""),"Volunteer")</f>
        <v>Volunteer</v>
      </c>
      <c r="AG129" s="61" t="str">
        <f>IFERROR(__xludf.DUMMYFUNCTION("""COMPUTED_VALUE"""),"2")</f>
        <v>2</v>
      </c>
      <c r="AH129" s="61" t="str">
        <f>IFERROR(__xludf.DUMMYFUNCTION("""COMPUTED_VALUE"""),"No")</f>
        <v>No</v>
      </c>
      <c r="AI129" s="61"/>
      <c r="AJ129" s="61"/>
      <c r="AK129" s="61"/>
      <c r="AL129" s="61"/>
      <c r="AM129" s="61" t="str">
        <f>IFERROR(__xludf.DUMMYFUNCTION("""COMPUTED_VALUE"""),"Mena Zewdu Mersha CV.pdf")</f>
        <v>Mena Zewdu Mersha CV.pdf</v>
      </c>
      <c r="AN129" s="61" t="str">
        <f>IFERROR(__xludf.DUMMYFUNCTION("""COMPUTED_VALUE"""),"To me, the ""world"" isn't an abstract concept it is a vast mosaic of cultures, languages, and nations. True impact depends on how open we are to understanding it. I create this change in my personal capacity by actively immersing myself in international "&amp;"settings and forums. Rather than just observing, I learn new languages and coordinate multicultural programs. These actions allow me to directly empower my peers, equipping them with the tools and perspective to be impactful internationally.")</f>
        <v>To me, the "world" isn't an abstract concept it is a vast mosaic of cultures, languages, and nations. True impact depends on how open we are to understanding it. I create this change in my personal capacity by actively immersing myself in international settings and forums. Rather than just observing, I learn new languages and coordinate multicultural programs. These actions allow me to directly empower my peers, equipping them with the tools and perspective to be impactful internationally.</v>
      </c>
      <c r="AO129" s="61" t="str">
        <f>IFERROR(__xludf.DUMMYFUNCTION("""COMPUTED_VALUE"""),"No single country holds absolute diplomatic significance, because diplomacy is an interconnected ecosystem that thrives when its actors are all actively impactful. To me, a truly significant country is not defined by raw power, but by being deeply informe"&amp;"d about its history, readily engaged in global dialogue, and proactively planning for the future. Any nation that embodies these qualities can gain the upper hand. By fostering strategic foresight, these countries ultimately shape international relations,"&amp;" proving that true diplomatic weight comes from consistent, meaningful engagement rather than sheer size.")</f>
        <v>No single country holds absolute diplomatic significance, because diplomacy is an interconnected ecosystem that thrives when its actors are all actively impactful. To me, a truly significant country is not defined by raw power, but by being deeply informed about its history, readily engaged in global dialogue, and proactively planning for the future. Any nation that embodies these qualities can gain the upper hand. By fostering strategic foresight, these countries ultimately shape international relations, proving that true diplomatic weight comes from consistent, meaningful engagement rather than sheer size.</v>
      </c>
      <c r="AP129" s="61" t="str">
        <f>IFERROR(__xludf.DUMMYFUNCTION("""COMPUTED_VALUE"""),"Today's youth actively shape diplomacy while being shaped by it. Thanks to modern technology, young people can engage in public diplomacy directly, bypassing traditional, rigid protocols. As a foreign student, I experience this firsthand. My time abroad h"&amp;"as shown me how effectively youth can act as cultural bridges. By engaging with communities both in my host country and back home, I can build a transparent screen of mutual benefit.
Furthermore, young people who immerse themselves in international setti"&amp;"ngs are uniquely equipped to recognize prejudice and defuse conflicts proactively. For instance, learning the Turkish language has significantly increased my own capacity to practice public diplomacy, opening doors to deeper cross-cultural dialogue.")</f>
        <v>Today's youth actively shape diplomacy while being shaped by it. Thanks to modern technology, young people can engage in public diplomacy directly, bypassing traditional, rigid protocols. As a foreign student, I experience this firsthand. My time abroad has shown me how effectively youth can act as cultural bridges. By engaging with communities both in my host country and back home, I can build a transparent screen of mutual benefit.
Furthermore, young people who immerse themselves in international settings are uniquely equipped to recognize prejudice and defuse conflicts proactively. For instance, learning the Turkish language has significantly increased my own capacity to practice public diplomacy, opening doors to deeper cross-cultural dialogue.</v>
      </c>
      <c r="AQ129" s="61" t="str">
        <f>IFERROR(__xludf.DUMMYFUNCTION("""COMPUTED_VALUE"""),"Passion is a powerful driving force the raw fuel that sparks impactful projects and shapes our perspective of the world. However, passion alone is not enough; it cannot stay dormant or untamed. If left unmanaged, people either become overly aggressive in "&amp;"their approach or completely passive, letting their drive fade away.
True success requires finding a proactive middle ground. Passion must be consciously redirected and funneled into discipline, consistency, and strategic effort.
For me, this definition i"&amp;"s exactly how I achieve my goals. When I take on international projects or learn challenging languages, my passion provides the initial spark. But to cross the finish line, I rely on turning that emotional energy into daily, disciplined habits. By balanci"&amp;"ng enthusiasm with structure, I ensure my passion is used effectively to create tangible, lasting global impact rather than just temporary excitement.")</f>
        <v>Passion is a powerful driving force the raw fuel that sparks impactful projects and shapes our perspective of the world. However, passion alone is not enough; it cannot stay dormant or untamed. If left unmanaged, people either become overly aggressive in their approach or completely passive, letting their drive fade away.
True success requires finding a proactive middle ground. Passion must be consciously redirected and funneled into discipline, consistency, and strategic effort.
For me, this definition is exactly how I achieve my goals. When I take on international projects or learn challenging languages, my passion provides the initial spark. But to cross the finish line, I rely on turning that emotional energy into daily, disciplined habits. By balancing enthusiasm with structure, I ensure my passion is used effectively to create tangible, lasting global impact rather than just temporary excitement.</v>
      </c>
      <c r="AR129" s="61" t="str">
        <f>IFERROR(__xludf.DUMMYFUNCTION("""COMPUTED_VALUE"""),"Creativity, to me, is the art of building channels for ideas to flow into impactful action. I express this through community organization and public advocacy. As Vice President of the Association of Ethiopian Students in Turkey (Ankara branch), I use crea"&amp;"tive public diplomacy strategies to reshape the narrative of Africa in Turkey.
My team and I collaborate with various diplomatic missions, joining cultural festivals to showcase traditional literature, dance, and food. By leveraging art and cinema, we fos"&amp;"ter vibrant cross-cultural dialogues between local and international communities. Furthermore, I coordinate a specialized book club for my Ethiopian peers in Ankara. Gathering students from diverse academic backgrounds, we don't just read; we creatively b"&amp;"rainstorm how to implement the books' ideas into real-world projects.
To turn this into a long-term, effective public diplomacy strategy, I focus on institutionalizing these creative spaces. By moving beyond temporary events and establishing consistent, s"&amp;"tructured cultural exchanges and joint intellectual forums, we build sustainable trust. This strategic approach transforms casual cultural appreciation into deep, lasting diplomatic ties, allowing young diaspora communities to actively bridge nations and "&amp;"dismantle historical prejudices from the ground up.")</f>
        <v>Creativity, to me, is the art of building channels for ideas to flow into impactful action. I express this through community organization and public advocacy. As Vice President of the Association of Ethiopian Students in Turkey (Ankara branch), I use creative public diplomacy strategies to reshape the narrative of Africa in Turkey.
My team and I collaborate with various diplomatic missions, joining cultural festivals to showcase traditional literature, dance, and food. By leveraging art and cinema, we foster vibrant cross-cultural dialogues between local and international communities. Furthermore, I coordinate a specialized book club for my Ethiopian peers in Ankara. Gathering students from diverse academic backgrounds, we don't just read; we creatively brainstorm how to implement the books' ideas into real-world projects.
To turn this into a long-term, effective public diplomacy strategy, I focus on institutionalizing these creative spaces. By moving beyond temporary events and establishing consistent, structured cultural exchanges and joint intellectual forums, we build sustainable trust. This strategic approach transforms casual cultural appreciation into deep, lasting diplomatic ties, allowing young diaspora communities to actively bridge nations and dismantle historical prejudices from the ground up.</v>
      </c>
      <c r="AS129" s="61" t="str">
        <f>IFERROR(__xludf.DUMMYFUNCTION("""COMPUTED_VALUE"""),"Yes")</f>
        <v>Yes</v>
      </c>
      <c r="AT129" s="61" t="str">
        <f>IFERROR(__xludf.DUMMYFUNCTION("""COMPUTED_VALUE"""),"Yes")</f>
        <v>Yes</v>
      </c>
      <c r="AU129" s="61" t="str">
        <f>IFERROR(__xludf.DUMMYFUNCTION("""COMPUTED_VALUE"""),"Global Politics, Diplomacy &amp; Identities")</f>
        <v>Global Politics, Diplomacy &amp; Identities</v>
      </c>
      <c r="AV129" s="61" t="str">
        <f>IFERROR(__xludf.DUMMYFUNCTION("""COMPUTED_VALUE"""),"Scholarship website")</f>
        <v>Scholarship website</v>
      </c>
      <c r="AW129" s="61" t="str">
        <f>IFERROR(__xludf.DUMMYFUNCTION("""COMPUTED_VALUE"""),"Public Diplomacy")</f>
        <v>Public Diplomacy</v>
      </c>
      <c r="AX129" s="66" t="str">
        <f>IFERROR(__xludf.DUMMYFUNCTION("""COMPUTED_VALUE"""),"Yes")</f>
        <v>Yes</v>
      </c>
      <c r="AY129" s="66">
        <f>IFERROR(__xludf.DUMMYFUNCTION("""COMPUTED_VALUE"""),15.99)</f>
        <v>15.99</v>
      </c>
      <c r="AZ129" s="61"/>
      <c r="BA129" s="61"/>
      <c r="BB129" s="61"/>
      <c r="BC129" s="61"/>
      <c r="BD129" s="61"/>
      <c r="BE129" s="61"/>
      <c r="BF129" s="61"/>
      <c r="BG129" s="61"/>
      <c r="BH129" s="61"/>
      <c r="BI129" s="61"/>
      <c r="BJ129" s="61"/>
      <c r="BK129" s="61"/>
      <c r="BL129" s="61"/>
      <c r="BM129" s="61"/>
      <c r="BN129" s="61"/>
      <c r="BO129" s="61"/>
      <c r="BP129" s="61"/>
      <c r="BQ129" s="61"/>
      <c r="BR129" s="61"/>
    </row>
    <row r="130" ht="15.75" customHeight="1">
      <c r="A130" s="61"/>
      <c r="B130" s="62">
        <f>IFERROR(__xludf.DUMMYFUNCTION("""COMPUTED_VALUE"""),152.0)</f>
        <v>152</v>
      </c>
      <c r="C130" s="61" t="str">
        <f>IFERROR(__xludf.DUMMYFUNCTION("""COMPUTED_VALUE"""),"Self")</f>
        <v>Self</v>
      </c>
      <c r="D130" s="63" t="str">
        <f>IFERROR(__xludf.DUMMYFUNCTION("""COMPUTED_VALUE"""),"Submitted")</f>
        <v>Submitted</v>
      </c>
      <c r="E130" s="63">
        <f>IFERROR(__xludf.DUMMYFUNCTION("""COMPUTED_VALUE"""),46208.94861111111)</f>
        <v>46208.94861</v>
      </c>
      <c r="F130" s="61" t="str">
        <f>IFERROR(__xludf.DUMMYFUNCTION("""COMPUTED_VALUE"""),"Theint​ Thinzar​ Thaw")</f>
        <v>Theint​ Thinzar​ Thaw</v>
      </c>
      <c r="G130" s="61" t="str">
        <f>IFERROR(__xludf.DUMMYFUNCTION("""COMPUTED_VALUE"""),"Theint​ Thinzar​ Thaw")</f>
        <v>Theint​ Thinzar​ Thaw</v>
      </c>
      <c r="H130" s="61" t="str">
        <f>IFERROR(__xludf.DUMMYFUNCTION("""COMPUTED_VALUE"""),"theint.insightful@gmail.com")</f>
        <v>theint.insightful@gmail.com</v>
      </c>
      <c r="I130" s="61" t="str">
        <f>IFERROR(__xludf.DUMMYFUNCTION("""COMPUTED_VALUE"""),"theint.insightful@gmail.com")</f>
        <v>theint.insightful@gmail.com</v>
      </c>
      <c r="J130" s="61" t="str">
        <f>IFERROR(__xludf.DUMMYFUNCTION("""COMPUTED_VALUE"""),"Bago,​Myanmar")</f>
        <v>Bago,​Myanmar</v>
      </c>
      <c r="K130" s="61" t="str">
        <f>IFERROR(__xludf.DUMMYFUNCTION("""COMPUTED_VALUE"""),"Myanmar")</f>
        <v>Myanmar</v>
      </c>
      <c r="L130" s="64" t="str">
        <f>IFERROR(__xludf.DUMMYFUNCTION("""COMPUTED_VALUE"""),"+959693078312")</f>
        <v>+959693078312</v>
      </c>
      <c r="M130" s="64">
        <f>IFERROR(__xludf.DUMMYFUNCTION("""COMPUTED_VALUE"""),34137.0)</f>
        <v>34137</v>
      </c>
      <c r="N130" s="61" t="str">
        <f>IFERROR(__xludf.DUMMYFUNCTION("""COMPUTED_VALUE"""),"MG883922")</f>
        <v>MG883922</v>
      </c>
      <c r="O130" s="61" t="str">
        <f>IFERROR(__xludf.DUMMYFUNCTION("""COMPUTED_VALUE"""),"+959693078312")</f>
        <v>+959693078312</v>
      </c>
      <c r="P130" s="61"/>
      <c r="Q130" s="61"/>
      <c r="R130" s="61"/>
      <c r="S130" s="61" t="str">
        <f>IFERROR(__xludf.DUMMYFUNCTION("""COMPUTED_VALUE"""),"inbound9181700422768653798.jpg")</f>
        <v>inbound9181700422768653798.jpg</v>
      </c>
      <c r="T130" s="61" t="str">
        <f>IFERROR(__xludf.DUMMYFUNCTION("""COMPUTED_VALUE"""),"inbound1691887056820920119.jpg")</f>
        <v>inbound1691887056820920119.jpg</v>
      </c>
      <c r="U130" s="61" t="str">
        <f>IFERROR(__xludf.DUMMYFUNCTION("""COMPUTED_VALUE"""),"Masters")</f>
        <v>Masters</v>
      </c>
      <c r="V130" s="61" t="str">
        <f>IFERROR(__xludf.DUMMYFUNCTION("""COMPUTED_VALUE"""),"MA​ in​ Global​ Affairs​ and​ Policy")</f>
        <v>MA​ in​ Global​ Affairs​ and​ Policy</v>
      </c>
      <c r="W130" s="61" t="str">
        <f>IFERROR(__xludf.DUMMYFUNCTION("""COMPUTED_VALUE"""),"International​ Development​ Cooperation")</f>
        <v>International​ Development​ Cooperation</v>
      </c>
      <c r="X130" s="61" t="str">
        <f>IFERROR(__xludf.DUMMYFUNCTION("""COMPUTED_VALUE"""),"Yonsei​ University")</f>
        <v>Yonsei​ University</v>
      </c>
      <c r="Y130" s="61" t="str">
        <f>IFERROR(__xludf.DUMMYFUNCTION("""COMPUTED_VALUE"""),"No")</f>
        <v>No</v>
      </c>
      <c r="Z130" s="61"/>
      <c r="AA130" s="61" t="str">
        <f>IFERROR(__xludf.DUMMYFUNCTION("""COMPUTED_VALUE"""),"No")</f>
        <v>No</v>
      </c>
      <c r="AB130" s="61"/>
      <c r="AC130" s="61"/>
      <c r="AD130" s="61" t="str">
        <f>IFERROR(__xludf.DUMMYFUNCTION("""COMPUTED_VALUE"""),"UNV")</f>
        <v>UNV</v>
      </c>
      <c r="AE130" s="65" t="str">
        <f>IFERROR(__xludf.DUMMYFUNCTION("""COMPUTED_VALUE"""),"https://www.unv.org")</f>
        <v>https://www.unv.org</v>
      </c>
      <c r="AF130" s="61" t="str">
        <f>IFERROR(__xludf.DUMMYFUNCTION("""COMPUTED_VALUE"""),"Volunteer")</f>
        <v>Volunteer</v>
      </c>
      <c r="AG130" s="61" t="str">
        <f>IFERROR(__xludf.DUMMYFUNCTION("""COMPUTED_VALUE"""),"2")</f>
        <v>2</v>
      </c>
      <c r="AH130" s="61" t="str">
        <f>IFERROR(__xludf.DUMMYFUNCTION("""COMPUTED_VALUE"""),"No")</f>
        <v>No</v>
      </c>
      <c r="AI130" s="61"/>
      <c r="AJ130" s="61"/>
      <c r="AK130" s="61"/>
      <c r="AL130" s="61" t="str">
        <f>IFERROR(__xludf.DUMMYFUNCTION("""COMPUTED_VALUE"""),"Language​ interpreter,​Researcher")</f>
        <v>Language​ interpreter,​Researcher</v>
      </c>
      <c r="AM130" s="61" t="str">
        <f>IFERROR(__xludf.DUMMYFUNCTION("""COMPUTED_VALUE"""),"inbound272298290279577887.pdf")</f>
        <v>inbound272298290279577887.pdf</v>
      </c>
      <c r="AN130" s="61" t="str">
        <f>IFERROR(__xludf.DUMMYFUNCTION("""COMPUTED_VALUE"""),"Yes. I believe meaningful change begins with individual action and grows through collaboration. As a trilingual freelance interpreter, I have promoted cross-cultural dialogue and mutual understanding, contributing to SDG 17 by bridging language and cultur"&amp;"al barriers. I also volunteer as a Korean language teacher to expand educational opportunities for young people and mentor students seeking international education. Through UNDP volunteer assignments in social media outreach and policy research, I have su"&amp;"pported humanitarian and development initiatives. These experiences have shown me that empowering individuals with knowledge, communication, and opportunity creates lasting change that strengthens communities locally and globally.")</f>
        <v>Yes. I believe meaningful change begins with individual action and grows through collaboration. As a trilingual freelance interpreter, I have promoted cross-cultural dialogue and mutual understanding, contributing to SDG 17 by bridging language and cultural barriers. I also volunteer as a Korean language teacher to expand educational opportunities for young people and mentor students seeking international education. Through UNDP volunteer assignments in social media outreach and policy research, I have supported humanitarian and development initiatives. These experiences have shown me that empowering individuals with knowledge, communication, and opportunity creates lasting change that strengthens communities locally and globally.</v>
      </c>
      <c r="AO130" s="61" t="str">
        <f>IFERROR(__xludf.DUMMYFUNCTION("""COMPUTED_VALUE"""),"I believe there is no single country that is universally the most diplomatically significant because diplomacy depends on context and global challenges. However, I consider the Republic of Korea particularly influential because it demonstrates how develop"&amp;"ment, innovation, culture, and international cooperation can strengthen global partnerships. Through development assistance, public diplomacy, peace initiatives, and technological leadership, Korea actively contributes to international dialogue and sustai"&amp;"nable development. Having studied in Korea, I have witnessed how educational exchange and cultural diplomacy build trust between nations. This reinforces my belief that diplomacy is most effective when countries create partnerships that promote mutual und"&amp;"erstanding and shared progress.")</f>
        <v>I believe there is no single country that is universally the most diplomatically significant because diplomacy depends on context and global challenges. However, I consider the Republic of Korea particularly influential because it demonstrates how development, innovation, culture, and international cooperation can strengthen global partnerships. Through development assistance, public diplomacy, peace initiatives, and technological leadership, Korea actively contributes to international dialogue and sustainable development. Having studied in Korea, I have witnessed how educational exchange and cultural diplomacy build trust between nations. This reinforces my belief that diplomacy is most effective when countries create partnerships that promote mutual understanding and shared progress.</v>
      </c>
      <c r="AP130" s="61" t="str">
        <f>IFERROR(__xludf.DUMMYFUNCTION("""COMPUTED_VALUE"""),"Youth are not merely future leaders; they are active contributors to diplomacy today. Through digital platforms, volunteerism, innovation, and cross-cultural engagement, young people can bridge divides, challenge stereotypes, and build international coope"&amp;"ration. Public diplomacy is especially important because it emphasizes people-to-people connections rather than only government-to-government relations.
My own journey reflects this belief. As a trilingual freelance interpreter working in Korean, English,"&amp;" and Burmese, I have supported communication during educational, cultural, and development-related activities, helping people from different backgrounds understand one another. I also volunteer as a Korean language teacher, creating educational opportunit"&amp;"ies that encourage international exchange and mutual respect.
In addition, my volunteer experiences with UNDP in humanitarian communication and policy research have strengthened my understanding of global development, partnerships, and evidence-based deci"&amp;"sion-making. These experiences have convinced me that diplomacy is built not only through negotiations but also through trust, communication, and shared learning.
I aspire to continue promoting public diplomacy by connecting diverse communities, supportin"&amp;"g international cooperation, and encouraging inclusive dialogue. I believe youth bring creativity, digital skills, and fresh perspectives that are essential for addressing today's global challenges and advancing peace and sustainable development.")</f>
        <v>Youth are not merely future leaders; they are active contributors to diplomacy today. Through digital platforms, volunteerism, innovation, and cross-cultural engagement, young people can bridge divides, challenge stereotypes, and build international cooperation. Public diplomacy is especially important because it emphasizes people-to-people connections rather than only government-to-government relations.
My own journey reflects this belief. As a trilingual freelance interpreter working in Korean, English, and Burmese, I have supported communication during educational, cultural, and development-related activities, helping people from different backgrounds understand one another. I also volunteer as a Korean language teacher, creating educational opportunities that encourage international exchange and mutual respect.
In addition, my volunteer experiences with UNDP in humanitarian communication and policy research have strengthened my understanding of global development, partnerships, and evidence-based decision-making. These experiences have convinced me that diplomacy is built not only through negotiations but also through trust, communication, and shared learning.
I aspire to continue promoting public diplomacy by connecting diverse communities, supporting international cooperation, and encouraging inclusive dialogue. I believe youth bring creativity, digital skills, and fresh perspectives that are essential for addressing today's global challenges and advancing peace and sustainable development.</v>
      </c>
      <c r="AQ130" s="61" t="str">
        <f>IFERROR(__xludf.DUMMYFUNCTION("""COMPUTED_VALUE"""),"To me, passion is a long-term commitment to a purpose rather than a temporary emotion. It provides resilience during challenges and encourages continuous learning and growth. My passion lies in international cooperation, public diplomacy, and sustainable "&amp;"development.
This passion motivated me to pursue graduate studies in Global Affairs and Policy at Yonsei University, become a trilingual interpreter, volunteer as a Korean language teacher, and contribute to UNDP initiatives supporting humanitarian commun"&amp;"ication and policy research. Each experience has strengthened my commitment to creating opportunities for dialogue and collaboration across cultures.
Passion also helps me embrace new challenges, improve my professional skills, and remain dedicated even w"&amp;"hen progress is gradual. It reminds me that meaningful impact is built through consistent effort. I believe passion, combined with integrity and perseverance, enables individuals to transform ideas into practical actions that benefit communities and contr"&amp;"ibute to global peace and development.")</f>
        <v>To me, passion is a long-term commitment to a purpose rather than a temporary emotion. It provides resilience during challenges and encourages continuous learning and growth. My passion lies in international cooperation, public diplomacy, and sustainable development.
This passion motivated me to pursue graduate studies in Global Affairs and Policy at Yonsei University, become a trilingual interpreter, volunteer as a Korean language teacher, and contribute to UNDP initiatives supporting humanitarian communication and policy research. Each experience has strengthened my commitment to creating opportunities for dialogue and collaboration across cultures.
Passion also helps me embrace new challenges, improve my professional skills, and remain dedicated even when progress is gradual. It reminds me that meaningful impact is built through consistent effort. I believe passion, combined with integrity and perseverance, enables individuals to transform ideas into practical actions that benefit communities and contribute to global peace and development.</v>
      </c>
      <c r="AR130" s="61" t="str">
        <f>IFERROR(__xludf.DUMMYFUNCTION("""COMPUTED_VALUE"""),"Yes. I believe creativity is essential for making diplomacy more inclusive, relatable, and impactful. Effective public diplomacy is no longer limited to formal meetings; it increasingly depends on engaging people through innovative communication, storytel"&amp;"ling, education, and digital platforms.
As a trilingual interpreter and volunteer, I have learned that presenting the same message in culturally appropriate ways can significantly improve understanding and trust. Creativity allows us to adapt communicatio"&amp;"n to different audiences while preserving the core message. Through educational outreach, social media engagement, and cross-cultural dialogue, complex global issues become more accessible and encourage broader participation.
I also believe digital techno"&amp;"logies and AI can strengthen public diplomacy by expanding access to information, supporting multilingual communication, and connecting communities across borders. However, these tools should always be used responsibly to promote accuracy, inclusion, and "&amp;"respectful dialogue.
My goal is to combine multilingual communication, policy knowledge, and digital innovation to design people-centered diplomacy initiatives that encourage collaboration and mutual understanding. When creativity is guided by empathy and"&amp;" shared values, it becomes a powerful strategy for building trust, strengthening international partnerships, and advancing peace and sustainable development.
These responses are significantly stronger than generic answers and align well with the values em"&amp;"phasized by diplomacy-focused organizations like CSCD, Jeju Forum, and global youth leadership programs.")</f>
        <v>Yes. I believe creativity is essential for making diplomacy more inclusive, relatable, and impactful. Effective public diplomacy is no longer limited to formal meetings; it increasingly depends on engaging people through innovative communication, storytelling, education, and digital platforms.
As a trilingual interpreter and volunteer, I have learned that presenting the same message in culturally appropriate ways can significantly improve understanding and trust. Creativity allows us to adapt communication to different audiences while preserving the core message. Through educational outreach, social media engagement, and cross-cultural dialogue, complex global issues become more accessible and encourage broader participation.
I also believe digital technologies and AI can strengthen public diplomacy by expanding access to information, supporting multilingual communication, and connecting communities across borders. However, these tools should always be used responsibly to promote accuracy, inclusion, and respectful dialogue.
My goal is to combine multilingual communication, policy knowledge, and digital innovation to design people-centered diplomacy initiatives that encourage collaboration and mutual understanding. When creativity is guided by empathy and shared values, it becomes a powerful strategy for building trust, strengthening international partnerships, and advancing peace and sustainable development.
These responses are significantly stronger than generic answers and align well with the values emphasized by diplomacy-focused organizations like CSCD, Jeju Forum, and global youth leadership programs.</v>
      </c>
      <c r="AS130" s="61" t="str">
        <f>IFERROR(__xludf.DUMMYFUNCTION("""COMPUTED_VALUE"""),"No")</f>
        <v>No</v>
      </c>
      <c r="AT130" s="61" t="str">
        <f>IFERROR(__xludf.DUMMYFUNCTION("""COMPUTED_VALUE"""),"No")</f>
        <v>No</v>
      </c>
      <c r="AU130" s="61" t="str">
        <f>IFERROR(__xludf.DUMMYFUNCTION("""COMPUTED_VALUE"""),"Strategy, Peace &amp; Cultural Diplomacy")</f>
        <v>Strategy, Peace &amp; Cultural Diplomacy</v>
      </c>
      <c r="AV130" s="61" t="str">
        <f>IFERROR(__xludf.DUMMYFUNCTION("""COMPUTED_VALUE"""),"Facebook")</f>
        <v>Facebook</v>
      </c>
      <c r="AW130" s="61"/>
      <c r="AX130" s="66" t="str">
        <f>IFERROR(__xludf.DUMMYFUNCTION("""COMPUTED_VALUE"""),"Yes")</f>
        <v>Yes</v>
      </c>
      <c r="AY130" s="66">
        <f>IFERROR(__xludf.DUMMYFUNCTION("""COMPUTED_VALUE"""),15.99)</f>
        <v>15.99</v>
      </c>
      <c r="AZ130" s="61"/>
      <c r="BA130" s="61"/>
      <c r="BB130" s="61"/>
      <c r="BC130" s="61"/>
      <c r="BD130" s="61"/>
      <c r="BE130" s="61"/>
      <c r="BF130" s="61"/>
      <c r="BG130" s="61"/>
      <c r="BH130" s="61"/>
      <c r="BI130" s="61"/>
      <c r="BJ130" s="61"/>
      <c r="BK130" s="61"/>
      <c r="BL130" s="61"/>
      <c r="BM130" s="61"/>
      <c r="BN130" s="61"/>
      <c r="BO130" s="61"/>
      <c r="BP130" s="61"/>
      <c r="BQ130" s="61"/>
      <c r="BR130" s="61"/>
    </row>
    <row r="131" ht="15.75" customHeight="1">
      <c r="A131" s="61" t="str">
        <f>IFERROR(__xludf.DUMMYFUNCTION("""COMPUTED_VALUE"""),"Partial")</f>
        <v>Partial</v>
      </c>
      <c r="B131" s="62">
        <f>IFERROR(__xludf.DUMMYFUNCTION("""COMPUTED_VALUE"""),155.0)</f>
        <v>155</v>
      </c>
      <c r="C131" s="61" t="str">
        <f>IFERROR(__xludf.DUMMYFUNCTION("""COMPUTED_VALUE"""),"Partial")</f>
        <v>Partial</v>
      </c>
      <c r="D131" s="63" t="str">
        <f>IFERROR(__xludf.DUMMYFUNCTION("""COMPUTED_VALUE"""),"Submitted")</f>
        <v>Submitted</v>
      </c>
      <c r="E131" s="63">
        <f>IFERROR(__xludf.DUMMYFUNCTION("""COMPUTED_VALUE"""),46208.96527777778)</f>
        <v>46208.96528</v>
      </c>
      <c r="F131" s="61" t="str">
        <f>IFERROR(__xludf.DUMMYFUNCTION("""COMPUTED_VALUE"""),"Lizan Mohammed")</f>
        <v>Lizan Mohammed</v>
      </c>
      <c r="G131" s="61" t="str">
        <f>IFERROR(__xludf.DUMMYFUNCTION("""COMPUTED_VALUE"""),"Lizan Ahmed Mohammed")</f>
        <v>Lizan Ahmed Mohammed</v>
      </c>
      <c r="H131" s="61" t="str">
        <f>IFERROR(__xludf.DUMMYFUNCTION("""COMPUTED_VALUE"""),"lizaahmed262@gmail.com")</f>
        <v>lizaahmed262@gmail.com</v>
      </c>
      <c r="I131" s="61" t="str">
        <f>IFERROR(__xludf.DUMMYFUNCTION("""COMPUTED_VALUE"""),"lizan.ahmed@suli-bis.com")</f>
        <v>lizan.ahmed@suli-bis.com</v>
      </c>
      <c r="J131" s="61" t="str">
        <f>IFERROR(__xludf.DUMMYFUNCTION("""COMPUTED_VALUE"""),"Kaziwa, Sulaymaniyah, Iraq, Qaiwan Heights, Sulaymaniyah, Iraq")</f>
        <v>Kaziwa, Sulaymaniyah, Iraq, Qaiwan Heights, Sulaymaniyah, Iraq</v>
      </c>
      <c r="K131" s="61" t="str">
        <f>IFERROR(__xludf.DUMMYFUNCTION("""COMPUTED_VALUE"""),"Iraqi")</f>
        <v>Iraqi</v>
      </c>
      <c r="L131" s="64" t="str">
        <f>IFERROR(__xludf.DUMMYFUNCTION("""COMPUTED_VALUE"""),"+964 771 584 3300")</f>
        <v>+964 771 584 3300</v>
      </c>
      <c r="M131" s="64">
        <f>IFERROR(__xludf.DUMMYFUNCTION("""COMPUTED_VALUE"""),34528.0)</f>
        <v>34528</v>
      </c>
      <c r="N131" s="61" t="str">
        <f>IFERROR(__xludf.DUMMYFUNCTION("""COMPUTED_VALUE"""),"B01161266")</f>
        <v>B01161266</v>
      </c>
      <c r="O131" s="61" t="str">
        <f>IFERROR(__xludf.DUMMYFUNCTION("""COMPUTED_VALUE"""),"+964 770 249 3211")</f>
        <v>+964 770 249 3211</v>
      </c>
      <c r="P131" s="65" t="str">
        <f>IFERROR(__xludf.DUMMYFUNCTION("""COMPUTED_VALUE"""),"https://www.linkedin.com/in/lizan-ahmed-279178195?utm_source=share_via&amp;utm_content=profile&amp;utm_medium=member_ios")</f>
        <v>https://www.linkedin.com/in/lizan-ahmed-279178195?utm_source=share_via&amp;utm_content=profile&amp;utm_medium=member_ios</v>
      </c>
      <c r="Q131" s="61" t="str">
        <f>IFERROR(__xludf.DUMMYFUNCTION("""COMPUTED_VALUE"""),"N/A")</f>
        <v>N/A</v>
      </c>
      <c r="R131" s="61" t="str">
        <f>IFERROR(__xludf.DUMMYFUNCTION("""COMPUTED_VALUE"""),"N/A")</f>
        <v>N/A</v>
      </c>
      <c r="S131" s="61" t="str">
        <f>IFERROR(__xludf.DUMMYFUNCTION("""COMPUTED_VALUE"""),"B01461266_page-0001.jpg")</f>
        <v>B01461266_page-0001.jpg</v>
      </c>
      <c r="T131" s="61" t="str">
        <f>IFERROR(__xludf.DUMMYFUNCTION("""COMPUTED_VALUE"""),"photo_2026-07-05_20-22-30.jpg")</f>
        <v>photo_2026-07-05_20-22-30.jpg</v>
      </c>
      <c r="U131" s="61" t="str">
        <f>IFERROR(__xludf.DUMMYFUNCTION("""COMPUTED_VALUE"""),"Bachelor")</f>
        <v>Bachelor</v>
      </c>
      <c r="V131" s="61" t="str">
        <f>IFERROR(__xludf.DUMMYFUNCTION("""COMPUTED_VALUE"""),"Engineering")</f>
        <v>Engineering</v>
      </c>
      <c r="W131" s="61" t="str">
        <f>IFERROR(__xludf.DUMMYFUNCTION("""COMPUTED_VALUE"""),"Mechanical Engineering")</f>
        <v>Mechanical Engineering</v>
      </c>
      <c r="X131" s="61" t="str">
        <f>IFERROR(__xludf.DUMMYFUNCTION("""COMPUTED_VALUE"""),"The American University of Iraq, Sulaimani (AUIS)")</f>
        <v>The American University of Iraq, Sulaimani (AUIS)</v>
      </c>
      <c r="Y131" s="61" t="str">
        <f>IFERROR(__xludf.DUMMYFUNCTION("""COMPUTED_VALUE"""),"No")</f>
        <v>No</v>
      </c>
      <c r="Z131" s="61" t="str">
        <f>IFERROR(__xludf.DUMMYFUNCTION("""COMPUTED_VALUE"""),"Iraq")</f>
        <v>Iraq</v>
      </c>
      <c r="AA131" s="61" t="str">
        <f>IFERROR(__xludf.DUMMYFUNCTION("""COMPUTED_VALUE"""),"No")</f>
        <v>No</v>
      </c>
      <c r="AB131" s="61"/>
      <c r="AC131" s="61"/>
      <c r="AD131" s="61" t="str">
        <f>IFERROR(__xludf.DUMMYFUNCTION("""COMPUTED_VALUE"""),"Civil Development Organization (CDO); UNICEF")</f>
        <v>Civil Development Organization (CDO); UNICEF</v>
      </c>
      <c r="AE131" s="65" t="str">
        <f>IFERROR(__xludf.DUMMYFUNCTION("""COMPUTED_VALUE"""),"https://cdo-iraq.org/")</f>
        <v>https://cdo-iraq.org/</v>
      </c>
      <c r="AF131" s="61" t="str">
        <f>IFERROR(__xludf.DUMMYFUNCTION("""COMPUTED_VALUE"""),"Education Facilitator and Volunteer")</f>
        <v>Education Facilitator and Volunteer</v>
      </c>
      <c r="AG131" s="61" t="str">
        <f>IFERROR(__xludf.DUMMYFUNCTION("""COMPUTED_VALUE"""),"6 months")</f>
        <v>6 months</v>
      </c>
      <c r="AH131" s="61" t="str">
        <f>IFERROR(__xludf.DUMMYFUNCTION("""COMPUTED_VALUE"""),"Yes")</f>
        <v>Yes</v>
      </c>
      <c r="AI131" s="61" t="str">
        <f>IFERROR(__xludf.DUMMYFUNCTION("""COMPUTED_VALUE"""),"Cambridge Primary Teacher at The British International School of Sulaymaniyah. I teach English, Mathematics, Science, History and Geography. I plan lessons, assess student progress and create an inclusive learning environment.")</f>
        <v>Cambridge Primary Teacher at The British International School of Sulaymaniyah. I teach English, Mathematics, Science, History and Geography. I plan lessons, assess student progress and create an inclusive learning environment.</v>
      </c>
      <c r="AJ131" s="61" t="str">
        <f>IFERROR(__xludf.DUMMYFUNCTION("""COMPUTED_VALUE"""),"No")</f>
        <v>No</v>
      </c>
      <c r="AK131" s="61"/>
      <c r="AL131" s="61" t="str">
        <f>IFERROR(__xludf.DUMMYFUNCTION("""COMPUTED_VALUE"""),"Leadership, Teaching, Classroom Management, Teamwork, problem solving, critical Thinking and Teaching.")</f>
        <v>Leadership, Teaching, Classroom Management, Teamwork, problem solving, critical Thinking and Teaching.</v>
      </c>
      <c r="AM131" s="61" t="str">
        <f>IFERROR(__xludf.DUMMYFUNCTION("""COMPUTED_VALUE"""),"Lizan's Resume (1).pdf")</f>
        <v>Lizan's Resume (1).pdf</v>
      </c>
      <c r="AN131" s="61" t="str">
        <f>IFERROR(__xludf.DUMMYFUNCTION("""COMPUTED_VALUE"""),"Yes. I believe meaningful change begins by improving the lives of individuals through education. Before becoming a full-time teacher, I volunteered with the Civil Development Organization, where I taught English to refugee children and helped create a saf"&amp;"e and joyful learning environment. That experience showed me that education can restore hope and confidence even in difficult circumstances. Today, as a Cambridge Primary Teacher, I continue to make an impact by encouraging critical thinking, empathy and "&amp;"respect among my students. I believe every child who becomes a responsible and compassionate citizen contributes to building a better future for society.")</f>
        <v>Yes. I believe meaningful change begins by improving the lives of individuals through education. Before becoming a full-time teacher, I volunteered with the Civil Development Organization, where I taught English to refugee children and helped create a safe and joyful learning environment. That experience showed me that education can restore hope and confidence even in difficult circumstances. Today, as a Cambridge Primary Teacher, I continue to make an impact by encouraging critical thinking, empathy and respect among my students. I believe every child who becomes a responsible and compassionate citizen contributes to building a better future for society.</v>
      </c>
      <c r="AO131" s="61" t="str">
        <f>IFERROR(__xludf.DUMMYFUNCTION("""COMPUTED_VALUE"""),"I believe effective diplomacy depends on cooperation among nations rather than believing one country is the most diplomatically significant. Countries such as Japan, the United States, and members of the European Union have each made important contributio"&amp;"ns to global peace, innovation, education, and international partnerships. However, today’s global challenges; including climate change, conflict, and inequality cannot be solved by one country alone. Successful diplomacy requires mutual respect, dialogue"&amp;", and collaboration. Every nation, regardless of its size, has valuable perspectives to contribute. Strong international relationships are built through trust, cultural understanding, and a shared commitment to sustainable development.")</f>
        <v>I believe effective diplomacy depends on cooperation among nations rather than believing one country is the most diplomatically significant. Countries such as Japan, the United States, and members of the European Union have each made important contributions to global peace, innovation, education, and international partnerships. However, today’s global challenges; including climate change, conflict, and inequality cannot be solved by one country alone. Successful diplomacy requires mutual respect, dialogue, and collaboration. Every nation, regardless of its size, has valuable perspectives to contribute. Strong international relationships are built through trust, cultural understanding, and a shared commitment to sustainable development.</v>
      </c>
      <c r="AP131" s="61" t="str">
        <f>IFERROR(__xludf.DUMMYFUNCTION("""COMPUTED_VALUE"""),"Young people are essential to diplomacy because they bring fresh ideas, creativity, and a willingness to build bridges across cultures. They are future leaders, educators, entrepreneurs, and policymakers who will shape international cooperation. Through e"&amp;"ducation, volunteering, and dialogue, youth can promote peace, challenge stereotypes, and encourage mutual understanding between communities.
As a teacher, I see public diplomacy beginning in the classroom. Every day, I encourage my students to respect di"&amp;"fferent perspectives, communicate effectively, and think critically about the world around them. These values help prepare them to become responsible global citizens who appreciate diversity and cooperation.
My experience teaching refugee children also st"&amp;"rengthened my belief that education can connect people regardless of their backgrounds or circumstances. I learned that empathy, patience, and communication are powerful tools for creating trust.
Participating in this forum would allow me to exchange idea"&amp;"s with young leaders from different countries, learn about international cooperation, and bring those experiences back to my students and community in Iraq. I believe teachers play an important role in public diplomacy because they help shape the attitude"&amp;"s and values of future generations.")</f>
        <v>Young people are essential to diplomacy because they bring fresh ideas, creativity, and a willingness to build bridges across cultures. They are future leaders, educators, entrepreneurs, and policymakers who will shape international cooperation. Through education, volunteering, and dialogue, youth can promote peace, challenge stereotypes, and encourage mutual understanding between communities.
As a teacher, I see public diplomacy beginning in the classroom. Every day, I encourage my students to respect different perspectives, communicate effectively, and think critically about the world around them. These values help prepare them to become responsible global citizens who appreciate diversity and cooperation.
My experience teaching refugee children also strengthened my belief that education can connect people regardless of their backgrounds or circumstances. I learned that empathy, patience, and communication are powerful tools for creating trust.
Participating in this forum would allow me to exchange ideas with young leaders from different countries, learn about international cooperation, and bring those experiences back to my students and community in Iraq. I believe teachers play an important role in public diplomacy because they help shape the attitudes and values of future generations.</v>
      </c>
      <c r="AQ131" s="61" t="str">
        <f>IFERROR(__xludf.DUMMYFUNCTION("""COMPUTED_VALUE"""),"To me, passion is the motivation that encourages continuous learning, resilience, and a commitment to making a positive difference. Although I studied Mechanical Engineering, I discovered that my true passion lies in education. Teaching allows me to inspi"&amp;"re young people, encourage curiosity, and help students develop confidence in their abilities.
Passion motivates me to continue improving my teaching through professional development, educational technology, and leadership opportunities. It has encouraged"&amp;" me to volunteer, participate in international programs, and seek new ways to make learning more meaningful for my students.
My long-term goal is to become an educational leader who contributes to improving teaching quality and expanding learning opportun"&amp;"ities. Passion reminds me that meaningful change happens through consistent effort, lifelong learning, and a genuine desire to serve others.")</f>
        <v>To me, passion is the motivation that encourages continuous learning, resilience, and a commitment to making a positive difference. Although I studied Mechanical Engineering, I discovered that my true passion lies in education. Teaching allows me to inspire young people, encourage curiosity, and help students develop confidence in their abilities.
Passion motivates me to continue improving my teaching through professional development, educational technology, and leadership opportunities. It has encouraged me to volunteer, participate in international programs, and seek new ways to make learning more meaningful for my students.
My long-term goal is to become an educational leader who contributes to improving teaching quality and expanding learning opportunities. Passion reminds me that meaningful change happens through consistent effort, lifelong learning, and a genuine desire to serve others.</v>
      </c>
      <c r="AR131" s="61" t="str">
        <f>IFERROR(__xludf.DUMMYFUNCTION("""COMPUTED_VALUE"""),"Yes, I consider creativity to be one of the most valuable qualities an educator can have. Creativity is not only about generating new ideas but also about finding meaningful ways to connect people and solve problems.
As a teacher, I use storytelling, coll"&amp;"aborative projects, interactive learning activities, and educational technology to engage students from different backgrounds. These approaches encourage communication, teamwork, and respect for diverse perspectives.
I believe the same principles can stre"&amp;"ngthen public diplomacy. Creative initiatives such as cultural exchange projects, student collaborations, community workshops, and digital learning platforms can bring people together despite differences in language or culture. By creating opportunities f"&amp;"or dialogue and shared experiences, we can build trust and reduce misunderstandings.
If selected for this program, I would use the knowledge and networks I gain to organize educational activities that promote intercultural understanding among young people"&amp;" in Iraq. I also hope to encourage students to become active global citizens who value cooperation, respect diversity, and contribute positively to their communities. I believe education and creativity together can become powerful tools for lasting peace "&amp;"and international friendship.")</f>
        <v>Yes, I consider creativity to be one of the most valuable qualities an educator can have. Creativity is not only about generating new ideas but also about finding meaningful ways to connect people and solve problems.
As a teacher, I use storytelling, collaborative projects, interactive learning activities, and educational technology to engage students from different backgrounds. These approaches encourage communication, teamwork, and respect for diverse perspectives.
I believe the same principles can strengthen public diplomacy. Creative initiatives such as cultural exchange projects, student collaborations, community workshops, and digital learning platforms can bring people together despite differences in language or culture. By creating opportunities for dialogue and shared experiences, we can build trust and reduce misunderstandings.
If selected for this program, I would use the knowledge and networks I gain to organize educational activities that promote intercultural understanding among young people in Iraq. I also hope to encourage students to become active global citizens who value cooperation, respect diversity, and contribute positively to their communities. I believe education and creativity together can become powerful tools for lasting peace and international friendship.</v>
      </c>
      <c r="AS131" s="61" t="str">
        <f>IFERROR(__xludf.DUMMYFUNCTION("""COMPUTED_VALUE"""),"Yes")</f>
        <v>Yes</v>
      </c>
      <c r="AT131" s="61" t="str">
        <f>IFERROR(__xludf.DUMMYFUNCTION("""COMPUTED_VALUE"""),"Yes")</f>
        <v>Yes</v>
      </c>
      <c r="AU131" s="61" t="str">
        <f>IFERROR(__xludf.DUMMYFUNCTION("""COMPUTED_VALUE"""),"Global Politics, Diplomacy &amp; Identities")</f>
        <v>Global Politics, Diplomacy &amp; Identities</v>
      </c>
      <c r="AV131" s="61" t="str">
        <f>IFERROR(__xludf.DUMMYFUNCTION("""COMPUTED_VALUE"""),"Friend")</f>
        <v>Friend</v>
      </c>
      <c r="AW131" s="61" t="str">
        <f>IFERROR(__xludf.DUMMYFUNCTION("""COMPUTED_VALUE"""),"Public Diplomacy in the 21st Century")</f>
        <v>Public Diplomacy in the 21st Century</v>
      </c>
      <c r="AX131" s="66" t="str">
        <f>IFERROR(__xludf.DUMMYFUNCTION("""COMPUTED_VALUE"""),"Yes")</f>
        <v>Yes</v>
      </c>
      <c r="AY131" s="66">
        <f>IFERROR(__xludf.DUMMYFUNCTION("""COMPUTED_VALUE"""),15.99)</f>
        <v>15.99</v>
      </c>
      <c r="AZ131" s="61"/>
      <c r="BA131" s="61"/>
      <c r="BB131" s="61"/>
      <c r="BC131" s="61"/>
      <c r="BD131" s="61"/>
      <c r="BE131" s="61"/>
      <c r="BF131" s="61"/>
      <c r="BG131" s="61"/>
      <c r="BH131" s="61"/>
      <c r="BI131" s="61"/>
      <c r="BJ131" s="61"/>
      <c r="BK131" s="61"/>
      <c r="BL131" s="61"/>
      <c r="BM131" s="61"/>
      <c r="BN131" s="61"/>
      <c r="BO131" s="61"/>
      <c r="BP131" s="61"/>
      <c r="BQ131" s="61"/>
      <c r="BR131" s="61"/>
    </row>
    <row r="132" ht="15.75" customHeight="1">
      <c r="A132" s="61" t="str">
        <f>IFERROR(__xludf.DUMMYFUNCTION("""COMPUTED_VALUE"""),"Full/partial")</f>
        <v>Full/partial</v>
      </c>
      <c r="B132" s="62">
        <f>IFERROR(__xludf.DUMMYFUNCTION("""COMPUTED_VALUE"""),156.0)</f>
        <v>156</v>
      </c>
      <c r="C132" s="61" t="str">
        <f>IFERROR(__xludf.DUMMYFUNCTION("""COMPUTED_VALUE"""),"Partial")</f>
        <v>Partial</v>
      </c>
      <c r="D132" s="63" t="str">
        <f>IFERROR(__xludf.DUMMYFUNCTION("""COMPUTED_VALUE"""),"Submitted")</f>
        <v>Submitted</v>
      </c>
      <c r="E132" s="63">
        <f>IFERROR(__xludf.DUMMYFUNCTION("""COMPUTED_VALUE"""),46208.97013888889)</f>
        <v>46208.97014</v>
      </c>
      <c r="F132" s="61" t="str">
        <f>IFERROR(__xludf.DUMMYFUNCTION("""COMPUTED_VALUE"""),"Valeriia Guliaeva")</f>
        <v>Valeriia Guliaeva</v>
      </c>
      <c r="G132" s="61" t="str">
        <f>IFERROR(__xludf.DUMMYFUNCTION("""COMPUTED_VALUE"""),"Valeriia Guliaeva")</f>
        <v>Valeriia Guliaeva</v>
      </c>
      <c r="H132" s="61" t="str">
        <f>IFERROR(__xludf.DUMMYFUNCTION("""COMPUTED_VALUE"""),"iamlerafrolova1@yandex.ru")</f>
        <v>iamlerafrolova1@yandex.ru</v>
      </c>
      <c r="I132" s="61" t="str">
        <f>IFERROR(__xludf.DUMMYFUNCTION("""COMPUTED_VALUE"""),"iamlerafrolova@gmail.com")</f>
        <v>iamlerafrolova@gmail.com</v>
      </c>
      <c r="J132" s="61" t="str">
        <f>IFERROR(__xludf.DUMMYFUNCTION("""COMPUTED_VALUE"""),"Mustaya Karima Street 12, Apt. 597, Moscow, Russia, Moscow, Russian Federation")</f>
        <v>Mustaya Karima Street 12, Apt. 597, Moscow, Russia, Moscow, Russian Federation</v>
      </c>
      <c r="K132" s="61" t="str">
        <f>IFERROR(__xludf.DUMMYFUNCTION("""COMPUTED_VALUE"""),"Russian")</f>
        <v>Russian</v>
      </c>
      <c r="L132" s="64" t="str">
        <f>IFERROR(__xludf.DUMMYFUNCTION("""COMPUTED_VALUE"""),"+79104683010")</f>
        <v>+79104683010</v>
      </c>
      <c r="M132" s="64">
        <f>IFERROR(__xludf.DUMMYFUNCTION("""COMPUTED_VALUE"""),36434.0)</f>
        <v>36434</v>
      </c>
      <c r="N132" s="61" t="str">
        <f>IFERROR(__xludf.DUMMYFUNCTION("""COMPUTED_VALUE"""),"771771382")</f>
        <v>771771382</v>
      </c>
      <c r="O132" s="61" t="str">
        <f>IFERROR(__xludf.DUMMYFUNCTION("""COMPUTED_VALUE"""),"+79199444132")</f>
        <v>+79199444132</v>
      </c>
      <c r="P132" s="61"/>
      <c r="Q132" s="61"/>
      <c r="R132" s="61"/>
      <c r="S132" s="61" t="str">
        <f>IFERROR(__xludf.DUMMYFUNCTION("""COMPUTED_VALUE"""),"Загран паспорт.jpeg")</f>
        <v>Загран паспорт.jpeg</v>
      </c>
      <c r="T132" s="61" t="str">
        <f>IFERROR(__xludf.DUMMYFUNCTION("""COMPUTED_VALUE"""),"Загран паспорт — копия.jpeg")</f>
        <v>Загран паспорт — копия.jpeg</v>
      </c>
      <c r="U132" s="61" t="str">
        <f>IFERROR(__xludf.DUMMYFUNCTION("""COMPUTED_VALUE"""),"Master's Degree (Honours), Phd (student)")</f>
        <v>Master's Degree (Honours), Phd (student)</v>
      </c>
      <c r="V132" s="61" t="str">
        <f>IFERROR(__xludf.DUMMYFUNCTION("""COMPUTED_VALUE"""),"International Law")</f>
        <v>International Law</v>
      </c>
      <c r="W132" s="61" t="str">
        <f>IFERROR(__xludf.DUMMYFUNCTION("""COMPUTED_VALUE"""),"International Energy Law and Policy")</f>
        <v>International Energy Law and Policy</v>
      </c>
      <c r="X132" s="61" t="str">
        <f>IFERROR(__xludf.DUMMYFUNCTION("""COMPUTED_VALUE"""),"Moscow State Institute of International Relations (MGIMO University)")</f>
        <v>Moscow State Institute of International Relations (MGIMO University)</v>
      </c>
      <c r="Y132" s="61" t="str">
        <f>IFERROR(__xludf.DUMMYFUNCTION("""COMPUTED_VALUE"""),"No")</f>
        <v>No</v>
      </c>
      <c r="Z132" s="61" t="str">
        <f>IFERROR(__xludf.DUMMYFUNCTION("""COMPUTED_VALUE"""),"Russia")</f>
        <v>Russia</v>
      </c>
      <c r="AA132" s="61" t="str">
        <f>IFERROR(__xludf.DUMMYFUNCTION("""COMPUTED_VALUE"""),"No")</f>
        <v>No</v>
      </c>
      <c r="AB132" s="61"/>
      <c r="AC132" s="61" t="str">
        <f>IFERROR(__xludf.DUMMYFUNCTION("""COMPUTED_VALUE"""),"Yes. I completed both my Bachelor's and Master's degrees with distinction at MGIMO University, graduating in the top 0.5% of my cohort and receiving the Potanin Scholarship — one of Russia's most prestigious academic awards. My academic background is root"&amp;"ed in international law, energy policy, and cross-cultural communication — fields directly relevant to international relations and public diplomacy. I am currently completing my postgraduate dissertation at MGIMO, while simultaneously applying for fully f"&amp;"unded PhD programmes at US universities, where my research focus bridges international education policy and cross-cultural dialogue — examining how language proficiency and educational frameworks shape soft power and people-to-people diplomacy in a global"&amp;"ised world.")</f>
        <v>Yes. I completed both my Bachelor's and Master's degrees with distinction at MGIMO University, graduating in the top 0.5% of my cohort and receiving the Potanin Scholarship — one of Russia's most prestigious academic awards. My academic background is rooted in international law, energy policy, and cross-cultural communication — fields directly relevant to international relations and public diplomacy. I am currently completing my postgraduate dissertation at MGIMO, while simultaneously applying for fully funded PhD programmes at US universities, where my research focus bridges international education policy and cross-cultural dialogue — examining how language proficiency and educational frameworks shape soft power and people-to-people diplomacy in a globalised world.</v>
      </c>
      <c r="AD132" s="61" t="str">
        <f>IFERROR(__xludf.DUMMYFUNCTION("""COMPUTED_VALUE"""),"Charitable Foundation for the Development of the City of Tyumen")</f>
        <v>Charitable Foundation for the Development of the City of Tyumen</v>
      </c>
      <c r="AE132" s="65" t="str">
        <f>IFERROR(__xludf.DUMMYFUNCTION("""COMPUTED_VALUE"""),"https://cftyumen.ru/")</f>
        <v>https://cftyumen.ru/</v>
      </c>
      <c r="AF132" s="61" t="str">
        <f>IFERROR(__xludf.DUMMYFUNCTION("""COMPUTED_VALUE"""),"Volunteer Squad Leader. I coordinate and lead a team of volunteers in organising large-scale civic and cultural events for residents of Tyumen and the Tyumen Oblast. Key events include seasonal community festivals such as ""Golden Autumn"" and ""Golden Sp"&amp;"ring,"" as well as events held in collaboration with regional governmental bodies — including the Tyumen City Duma, the Legislative Assembly of the Tyumen Oblast, and other state institutions. My responsibilities include volunteer recruitment and coordina"&amp;"tion, event logistics, communication with government stakeholders, and ensuring smooth execution of public-facing programmes.")</f>
        <v>Volunteer Squad Leader. I coordinate and lead a team of volunteers in organising large-scale civic and cultural events for residents of Tyumen and the Tyumen Oblast. Key events include seasonal community festivals such as "Golden Autumn" and "Golden Spring," as well as events held in collaboration with regional governmental bodies — including the Tyumen City Duma, the Legislative Assembly of the Tyumen Oblast, and other state institutions. My responsibilities include volunteer recruitment and coordination, event logistics, communication with government stakeholders, and ensuring smooth execution of public-facing programmes.</v>
      </c>
      <c r="AG132" s="61"/>
      <c r="AH132" s="61" t="str">
        <f>IFERROR(__xludf.DUMMYFUNCTION("""COMPUTED_VALUE"""),"Yes")</f>
        <v>Yes</v>
      </c>
      <c r="AI132" s="61" t="str">
        <f>IFERROR(__xludf.DUMMYFUNCTION("""COMPUTED_VALUE"""),"I am the founder and lead instructor of an independent English language education platform. My primary roles include designing and delivering advanced English courses for learners at B2–C2 level, mentoring English language teachers through group coaching "&amp;"and professional development programmes, conducting webinars on language acquisition and teaching methodology, and managing all aspects of the educational business — from curriculum development and content production to community building and strategic gr"&amp;"owth. I work with an audience of over 10,000 across Telegram and Instagram, running multiple simultaneous course groups with up to 120 students per intake. Alongside my teaching practice, I am completing postgraduate research at MGIMO University and prepa"&amp;"ring doctoral applications to US universities.")</f>
        <v>I am the founder and lead instructor of an independent English language education platform. My primary roles include designing and delivering advanced English courses for learners at B2–C2 level, mentoring English language teachers through group coaching and professional development programmes, conducting webinars on language acquisition and teaching methodology, and managing all aspects of the educational business — from curriculum development and content production to community building and strategic growth. I work with an audience of over 10,000 across Telegram and Instagram, running multiple simultaneous course groups with up to 120 students per intake. Alongside my teaching practice, I am completing postgraduate research at MGIMO University and preparing doctoral applications to US universities.</v>
      </c>
      <c r="AJ132" s="61" t="str">
        <f>IFERROR(__xludf.DUMMYFUNCTION("""COMPUTED_VALUE"""),"Yes")</f>
        <v>Yes</v>
      </c>
      <c r="AK132" s="61" t="str">
        <f>IFERROR(__xludf.DUMMYFUNCTION("""COMPUTED_VALUE"""),"I am the founder of an educational platform and personal brand focused on advanced English language instruction and professional development for teachers. The platform operates across Telegram and Instagram (combined audience of over 10,000), and its miss"&amp;"ion is to raise the standard of English language teaching in Russia by helping educators reach C1–C2 proficiency and build sustainable, high-income teaching practices.
Within this platform I run group English courses for advanced learners (B2–C2), mentor"&amp;" English language teachers through group coaching programmes, deliver open webinars on language acquisition and teaching methodology, and produce educational content consumed by thousands of learners and educators monthly.
Additionally, I have been selec"&amp;"ted as a Desyatnik (squad leader of ten) in a competitive national youth entrepreneurship club, where I lead a high-performance group of established content creators and entrepreneurs focused on scaling their projects and impact.")</f>
        <v>I am the founder of an educational platform and personal brand focused on advanced English language instruction and professional development for teachers. The platform operates across Telegram and Instagram (combined audience of over 10,000), and its mission is to raise the standard of English language teaching in Russia by helping educators reach C1–C2 proficiency and build sustainable, high-income teaching practices.
Within this platform I run group English courses for advanced learners (B2–C2), mentor English language teachers through group coaching programmes, deliver open webinars on language acquisition and teaching methodology, and produce educational content consumed by thousands of learners and educators monthly.
Additionally, I have been selected as a Desyatnik (squad leader of ten) in a competitive national youth entrepreneurship club, where I lead a high-performance group of established content creators and entrepreneurs focused on scaling their projects and impact.</v>
      </c>
      <c r="AL132" s="61" t="str">
        <f>IFERROR(__xludf.DUMMYFUNCTION("""COMPUTED_VALUE"""),"Public speaking and presentation in English (C2 / CPE certified) · Cross-cultural communication · Curriculum design and instructional methodology · Community leadership and volunteer coordination · Event management (civic and governmental scale) · Educati"&amp;"onal entrepreneurship and online course production · Content creation and audience development · Academic research and legal analysis (international law, MGIMO) · Mentorship and coaching · Bilingual communication (Russian / English)")</f>
        <v>Public speaking and presentation in English (C2 / CPE certified) · Cross-cultural communication · Curriculum design and instructional methodology · Community leadership and volunteer coordination · Event management (civic and governmental scale) · Educational entrepreneurship and online course production · Content creation and audience development · Academic research and legal analysis (international law, MGIMO) · Mentorship and coaching · Bilingual communication (Russian / English)</v>
      </c>
      <c r="AM132" s="61" t="str">
        <f>IFERROR(__xludf.DUMMYFUNCTION("""COMPUTED_VALUE"""),"CV_Guliaeva_YPDS_Jakarta_2026.docx")</f>
        <v>CV_Guliaeva_YPDS_Jakarta_2026.docx</v>
      </c>
      <c r="AN132" s="61" t="str">
        <f>IFERROR(__xludf.DUMMYFUNCTION("""COMPUTED_VALUE"""),"Yes. I believe meaningful change in international relations begins with communication — and communication begins with language. For eight years, I have worked to close the gap between Russian professionals and the global stage by equipping them with the l"&amp;"inguistic and cross-cultural competencies that international diplomacy demands. Over 500 students have gone on to secure roles at multinational companies or pass international examinations; 100 educators now teach at a higher standard. I have also collabo"&amp;"rated with regional legislative bodies to design civic programmes that foster public engagement and community cohesion. My conviction is simple: soft power starts with the people who can actually speak across borders.")</f>
        <v>Yes. I believe meaningful change in international relations begins with communication — and communication begins with language. For eight years, I have worked to close the gap between Russian professionals and the global stage by equipping them with the linguistic and cross-cultural competencies that international diplomacy demands. Over 500 students have gone on to secure roles at multinational companies or pass international examinations; 100 educators now teach at a higher standard. I have also collaborated with regional legislative bodies to design civic programmes that foster public engagement and community cohesion. My conviction is simple: soft power starts with the people who can actually speak across borders.</v>
      </c>
      <c r="AO132" s="61" t="str">
        <f>IFERROR(__xludf.DUMMYFUNCTION("""COMPUTED_VALUE"""),"Indonesia stands as one of the most diplomatically significant countries of the 21st century. As the world's largest archipelagic state, the fourth most populous nation, and the largest Muslim-majority democracy, Indonesia occupies a unique geopolitical p"&amp;"osition bridging East and West, developed and developing worlds. Its leadership within ASEAN, its active non-aligned foreign policy, and its growing role in G20 diplomacy make it a pivotal actor in shaping multilateral frameworks on climate, trade, and re"&amp;"gional security. Indonesia's ability to maintain constructive relationships across competing global powers — the United States, China, and Russia — exemplifies the kind of principled, interest-based diplomacy the world increasingly needs.")</f>
        <v>Indonesia stands as one of the most diplomatically significant countries of the 21st century. As the world's largest archipelagic state, the fourth most populous nation, and the largest Muslim-majority democracy, Indonesia occupies a unique geopolitical position bridging East and West, developed and developing worlds. Its leadership within ASEAN, its active non-aligned foreign policy, and its growing role in G20 diplomacy make it a pivotal actor in shaping multilateral frameworks on climate, trade, and regional security. Indonesia's ability to maintain constructive relationships across competing global powers — the United States, China, and Russia — exemplifies the kind of principled, interest-based diplomacy the world increasingly needs.</v>
      </c>
      <c r="AP132" s="61" t="str">
        <f>IFERROR(__xludf.DUMMYFUNCTION("""COMPUTED_VALUE"""),"Youth are not the diplomacy of tomorrow — they are an underutilised force in the diplomacy of today. Young people bring linguistic agility, digital fluency, and an instinctive capacity for cross-cultural empathy that formal diplomatic institutions often l"&amp;"ack. In an era where narratives travel faster than treaties, youth-led communication shapes public perception across borders more powerfully than many official channels. The question is not whether youth belong in diplomacy, but how quickly institutions w"&amp;"ill recognise and harness that potential.
Public diplomacy, for me, is deeply personal. My entire professional life has been built on the premise that language is the most fundamental instrument of international relations — that the ability to communicat"&amp;"e across cultural and linguistic boundaries is not a soft skill but a strategic asset. Teaching English at C2 level to future diplomats at MGIMO, designing cross-cultural communication programmes, and building an educational platform that reaches thousand"&amp;"s of professionals across Russia — these are, in essence, acts of public diplomacy. They expand the pool of people who can meaningfully participate in international dialogue.
I relate to public diplomacy not as an abstract concept but as a daily practice"&amp;": every lesson, every conversation across difference, every student who gains the confidence to engage with the world beyond their borders is a small but real contribution to the fabric of international understanding.")</f>
        <v>Youth are not the diplomacy of tomorrow — they are an underutilised force in the diplomacy of today. Young people bring linguistic agility, digital fluency, and an instinctive capacity for cross-cultural empathy that formal diplomatic institutions often lack. In an era where narratives travel faster than treaties, youth-led communication shapes public perception across borders more powerfully than many official channels. The question is not whether youth belong in diplomacy, but how quickly institutions will recognise and harness that potential.
Public diplomacy, for me, is deeply personal. My entire professional life has been built on the premise that language is the most fundamental instrument of international relations — that the ability to communicate across cultural and linguistic boundaries is not a soft skill but a strategic asset. Teaching English at C2 level to future diplomats at MGIMO, designing cross-cultural communication programmes, and building an educational platform that reaches thousands of professionals across Russia — these are, in essence, acts of public diplomacy. They expand the pool of people who can meaningfully participate in international dialogue.
I relate to public diplomacy not as an abstract concept but as a daily practice: every lesson, every conversation across difference, every student who gains the confidence to engage with the world beyond their borders is a small but real contribution to the fabric of international understanding.</v>
      </c>
      <c r="AQ132" s="61" t="str">
        <f>IFERROR(__xludf.DUMMYFUNCTION("""COMPUTED_VALUE"""),"Passion, for me, is not enthusiasm — enthusiasm fades. Passion is the refusal to accept the gap between where you are and where you believe things should be. It is what keeps you working when the results are not yet visible, when the system pushes back, w"&amp;"hen the easier path is to stop.
I have experienced this directly. When I began building my educational platform, there was no guarantee it would work. I was competing against established institutions with far greater resources. What carried me through wa"&amp;"s not confidence — it was an unshakeable belief that the way English was being taught in Russia was failing students, and that I could do it differently. That conviction — that specific, personal, almost stubborn sense of purpose — is what I mean by passi"&amp;"on.
It translates into goals because passion narrows your focus. You stop asking whether to continue and start asking only how. Every setback becomes a design problem rather than a reason to quit. In eight years, that orientation has taken me from a sing"&amp;"le student to a platform of thousands, from a tutor to a researcher, from a local classroom to applying for doctoral programmes abroad. Passion does not remove obstacles. It makes you someone who does not need them removed.")</f>
        <v>Passion, for me, is not enthusiasm — enthusiasm fades. Passion is the refusal to accept the gap between where you are and where you believe things should be. It is what keeps you working when the results are not yet visible, when the system pushes back, when the easier path is to stop.
I have experienced this directly. When I began building my educational platform, there was no guarantee it would work. I was competing against established institutions with far greater resources. What carried me through was not confidence — it was an unshakeable belief that the way English was being taught in Russia was failing students, and that I could do it differently. That conviction — that specific, personal, almost stubborn sense of purpose — is what I mean by passion.
It translates into goals because passion narrows your focus. You stop asking whether to continue and start asking only how. Every setback becomes a design problem rather than a reason to quit. In eight years, that orientation has taken me from a single student to a platform of thousands, from a tutor to a researcher, from a local classroom to applying for doctoral programmes abroad. Passion does not remove obstacles. It makes you someone who does not need them removed.</v>
      </c>
      <c r="AR132" s="61" t="str">
        <f>IFERROR(__xludf.DUMMYFUNCTION("""COMPUTED_VALUE"""),"Yes — though I would define creativity not as the ability to generate original ideas, but as the ability to see familiar problems from angles others have not yet tried. That reframing instinct has driven everything I have built professionally.
When I ent"&amp;"ered English language education, the dominant model was rigid, textbook-driven, and producing students who could pass exams but could not hold a real conversation. I did not invent a new subject — I redesigned the logic of how it was taught. I replaced me"&amp;"morisation with reasoning, passive reception with active production, and isolated grammar rules with systems that students could actually apply under pressure. That is creativity in practice: not novelty for its own sake, but purposeful reinvention of som"&amp;"ething that was not working.
Translated into public diplomacy, this same orientation becomes a genuine strategic asset. Effective public diplomacy in the 21st century is not about broadcasting official narratives — it is about designing communication exp"&amp;"eriences that people actually want to engage with. It requires understanding your audience deeply enough to meet them where they are, not where you wish they were. My experience building educational content for audiences ranging from beginner learners to "&amp;"C2-level professionals has given me exactly that: the ability to read a room, adapt a message, and create something that lands rather than merely reaches. Creativity, in diplomacy as in education, is ultimately the art of being understood.")</f>
        <v>Yes — though I would define creativity not as the ability to generate original ideas, but as the ability to see familiar problems from angles others have not yet tried. That reframing instinct has driven everything I have built professionally.
When I entered English language education, the dominant model was rigid, textbook-driven, and producing students who could pass exams but could not hold a real conversation. I did not invent a new subject — I redesigned the logic of how it was taught. I replaced memorisation with reasoning, passive reception with active production, and isolated grammar rules with systems that students could actually apply under pressure. That is creativity in practice: not novelty for its own sake, but purposeful reinvention of something that was not working.
Translated into public diplomacy, this same orientation becomes a genuine strategic asset. Effective public diplomacy in the 21st century is not about broadcasting official narratives — it is about designing communication experiences that people actually want to engage with. It requires understanding your audience deeply enough to meet them where they are, not where you wish they were. My experience building educational content for audiences ranging from beginner learners to C2-level professionals has given me exactly that: the ability to read a room, adapt a message, and create something that lands rather than merely reaches. Creativity, in diplomacy as in education, is ultimately the art of being understood.</v>
      </c>
      <c r="AS132" s="61" t="str">
        <f>IFERROR(__xludf.DUMMYFUNCTION("""COMPUTED_VALUE"""),"Yes")</f>
        <v>Yes</v>
      </c>
      <c r="AT132" s="61" t="str">
        <f>IFERROR(__xludf.DUMMYFUNCTION("""COMPUTED_VALUE"""),"Yes")</f>
        <v>Yes</v>
      </c>
      <c r="AU132" s="61" t="str">
        <f>IFERROR(__xludf.DUMMYFUNCTION("""COMPUTED_VALUE"""),"Philosophy, Media &amp; Diplomacy in International Relations")</f>
        <v>Philosophy, Media &amp; Diplomacy in International Relations</v>
      </c>
      <c r="AV132" s="61" t="str">
        <f>IFERROR(__xludf.DUMMYFUNCTION("""COMPUTED_VALUE"""),"Scholarships portal")</f>
        <v>Scholarships portal</v>
      </c>
      <c r="AW132" s="61" t="str">
        <f>IFERROR(__xludf.DUMMYFUNCTION("""COMPUTED_VALUE"""),"Strategic Communication")</f>
        <v>Strategic Communication</v>
      </c>
      <c r="AX132" s="66" t="str">
        <f>IFERROR(__xludf.DUMMYFUNCTION("""COMPUTED_VALUE"""),"Yes")</f>
        <v>Yes</v>
      </c>
      <c r="AY132" s="66">
        <f>IFERROR(__xludf.DUMMYFUNCTION("""COMPUTED_VALUE"""),15.99)</f>
        <v>15.99</v>
      </c>
      <c r="AZ132" s="61"/>
      <c r="BA132" s="61"/>
      <c r="BB132" s="61"/>
      <c r="BC132" s="61"/>
      <c r="BD132" s="61"/>
      <c r="BE132" s="61"/>
      <c r="BF132" s="61"/>
      <c r="BG132" s="61"/>
      <c r="BH132" s="61"/>
      <c r="BI132" s="61"/>
      <c r="BJ132" s="61"/>
      <c r="BK132" s="61"/>
      <c r="BL132" s="61"/>
      <c r="BM132" s="61"/>
      <c r="BN132" s="61"/>
      <c r="BO132" s="61"/>
      <c r="BP132" s="61"/>
      <c r="BQ132" s="61"/>
      <c r="BR132" s="61"/>
    </row>
    <row r="133" ht="15.75" customHeight="1">
      <c r="A133" s="61" t="str">
        <f>IFERROR(__xludf.DUMMYFUNCTION("""COMPUTED_VALUE"""),"Partial")</f>
        <v>Partial</v>
      </c>
      <c r="B133" s="62">
        <f>IFERROR(__xludf.DUMMYFUNCTION("""COMPUTED_VALUE"""),157.0)</f>
        <v>157</v>
      </c>
      <c r="C133" s="61" t="str">
        <f>IFERROR(__xludf.DUMMYFUNCTION("""COMPUTED_VALUE"""),"Partial")</f>
        <v>Partial</v>
      </c>
      <c r="D133" s="63" t="str">
        <f>IFERROR(__xludf.DUMMYFUNCTION("""COMPUTED_VALUE"""),"Submitted")</f>
        <v>Submitted</v>
      </c>
      <c r="E133" s="63">
        <f>IFERROR(__xludf.DUMMYFUNCTION("""COMPUTED_VALUE"""),46208.97361111111)</f>
        <v>46208.97361</v>
      </c>
      <c r="F133" s="61" t="str">
        <f>IFERROR(__xludf.DUMMYFUNCTION("""COMPUTED_VALUE"""),"Omar Abu Alwafa")</f>
        <v>Omar Abu Alwafa</v>
      </c>
      <c r="G133" s="61" t="str">
        <f>IFERROR(__xludf.DUMMYFUNCTION("""COMPUTED_VALUE"""),"OMAR WAEL SHEHADEH ABUALWAFA")</f>
        <v>OMAR WAEL SHEHADEH ABUALWAFA</v>
      </c>
      <c r="H133" s="61" t="str">
        <f>IFERROR(__xludf.DUMMYFUNCTION("""COMPUTED_VALUE"""),"omarwafa2000@gmail.com")</f>
        <v>omarwafa2000@gmail.com</v>
      </c>
      <c r="I133" s="61" t="str">
        <f>IFERROR(__xludf.DUMMYFUNCTION("""COMPUTED_VALUE"""),"omarwafa510@gmail.com")</f>
        <v>omarwafa510@gmail.com</v>
      </c>
      <c r="J133" s="61" t="str">
        <f>IFERROR(__xludf.DUMMYFUNCTION("""COMPUTED_VALUE"""),"Istiklal Avenue, Amman, Jordan")</f>
        <v>Istiklal Avenue, Amman, Jordan</v>
      </c>
      <c r="K133" s="61" t="str">
        <f>IFERROR(__xludf.DUMMYFUNCTION("""COMPUTED_VALUE"""),"Palestinian")</f>
        <v>Palestinian</v>
      </c>
      <c r="L133" s="64" t="str">
        <f>IFERROR(__xludf.DUMMYFUNCTION("""COMPUTED_VALUE"""),"00962797286892")</f>
        <v>00962797286892</v>
      </c>
      <c r="M133" s="64">
        <f>IFERROR(__xludf.DUMMYFUNCTION("""COMPUTED_VALUE"""),36851.0)</f>
        <v>36851</v>
      </c>
      <c r="N133" s="61" t="str">
        <f>IFERROR(__xludf.DUMMYFUNCTION("""COMPUTED_VALUE"""),"1536717")</f>
        <v>1536717</v>
      </c>
      <c r="O133" s="61" t="str">
        <f>IFERROR(__xludf.DUMMYFUNCTION("""COMPUTED_VALUE"""),"00962797746214")</f>
        <v>00962797746214</v>
      </c>
      <c r="P133" s="61" t="str">
        <f>IFERROR(__xludf.DUMMYFUNCTION("""COMPUTED_VALUE"""),"www.linkedin.com/in/omar-abu-alwafa-عمر-أبو-الوفا-0149a4247")</f>
        <v>www.linkedin.com/in/omar-abu-alwafa-عمر-أبو-الوفا-0149a4247</v>
      </c>
      <c r="Q133" s="65" t="str">
        <f>IFERROR(__xludf.DUMMYFUNCTION("""COMPUTED_VALUE"""),"https://www.instagram.com/omar_w.w0/")</f>
        <v>https://www.instagram.com/omar_w.w0/</v>
      </c>
      <c r="R133" s="65" t="str">
        <f>IFERROR(__xludf.DUMMYFUNCTION("""COMPUTED_VALUE"""),"https://www.facebook.com/omar.w.wafa")</f>
        <v>https://www.facebook.com/omar.w.wafa</v>
      </c>
      <c r="S133" s="61" t="str">
        <f>IFERROR(__xludf.DUMMYFUNCTION("""COMPUTED_VALUE"""),"Omar Passport.jpg")</f>
        <v>Omar Passport.jpg</v>
      </c>
      <c r="T133" s="61" t="str">
        <f>IFERROR(__xludf.DUMMYFUNCTION("""COMPUTED_VALUE"""),"Omar Abu Alwafa.jpg")</f>
        <v>Omar Abu Alwafa.jpg</v>
      </c>
      <c r="U133" s="61" t="str">
        <f>IFERROR(__xludf.DUMMYFUNCTION("""COMPUTED_VALUE"""),"Bachelor")</f>
        <v>Bachelor</v>
      </c>
      <c r="V133" s="61" t="str">
        <f>IFERROR(__xludf.DUMMYFUNCTION("""COMPUTED_VALUE"""),"BA")</f>
        <v>BA</v>
      </c>
      <c r="W133" s="61" t="str">
        <f>IFERROR(__xludf.DUMMYFUNCTION("""COMPUTED_VALUE"""),"Graphic Design")</f>
        <v>Graphic Design</v>
      </c>
      <c r="X133" s="61" t="str">
        <f>IFERROR(__xludf.DUMMYFUNCTION("""COMPUTED_VALUE"""),"Applied Science University")</f>
        <v>Applied Science University</v>
      </c>
      <c r="Y133" s="61" t="str">
        <f>IFERROR(__xludf.DUMMYFUNCTION("""COMPUTED_VALUE"""),"No")</f>
        <v>No</v>
      </c>
      <c r="Z133" s="61" t="str">
        <f>IFERROR(__xludf.DUMMYFUNCTION("""COMPUTED_VALUE"""),"Jordan")</f>
        <v>Jordan</v>
      </c>
      <c r="AA133" s="61" t="str">
        <f>IFERROR(__xludf.DUMMYFUNCTION("""COMPUTED_VALUE"""),"Yes")</f>
        <v>Yes</v>
      </c>
      <c r="AB133" s="61" t="str">
        <f>IFERROR(__xludf.DUMMYFUNCTION("""COMPUTED_VALUE"""),"University of Tarumanagara (Virtual Exchange)")</f>
        <v>University of Tarumanagara (Virtual Exchange)</v>
      </c>
      <c r="AC133" s="61" t="str">
        <f>IFERROR(__xludf.DUMMYFUNCTION("""COMPUTED_VALUE"""),"I had a course at university")</f>
        <v>I had a course at university</v>
      </c>
      <c r="AD133" s="61" t="str">
        <f>IFERROR(__xludf.DUMMYFUNCTION("""COMPUTED_VALUE"""),"Hareer Organization")</f>
        <v>Hareer Organization</v>
      </c>
      <c r="AE133" s="65" t="str">
        <f>IFERROR(__xludf.DUMMYFUNCTION("""COMPUTED_VALUE"""),"https://hareerinitiative.com/")</f>
        <v>https://hareerinitiative.com/</v>
      </c>
      <c r="AF133" s="61" t="str">
        <f>IFERROR(__xludf.DUMMYFUNCTION("""COMPUTED_VALUE"""),"Profile Design")</f>
        <v>Profile Design</v>
      </c>
      <c r="AG133" s="61" t="str">
        <f>IFERROR(__xludf.DUMMYFUNCTION("""COMPUTED_VALUE"""),"3.5")</f>
        <v>3.5</v>
      </c>
      <c r="AH133" s="61" t="str">
        <f>IFERROR(__xludf.DUMMYFUNCTION("""COMPUTED_VALUE"""),"Yes")</f>
        <v>Yes</v>
      </c>
      <c r="AI133" s="61" t="str">
        <f>IFERROR(__xludf.DUMMYFUNCTION("""COMPUTED_VALUE"""),"Senior Graphic Designer")</f>
        <v>Senior Graphic Designer</v>
      </c>
      <c r="AJ133" s="61" t="str">
        <f>IFERROR(__xludf.DUMMYFUNCTION("""COMPUTED_VALUE"""),"No")</f>
        <v>No</v>
      </c>
      <c r="AK133" s="61"/>
      <c r="AL133" s="61" t="str">
        <f>IFERROR(__xludf.DUMMYFUNCTION("""COMPUTED_VALUE"""),"Design Task Management - Facilitating Design Workshops")</f>
        <v>Design Task Management - Facilitating Design Workshops</v>
      </c>
      <c r="AM133" s="61" t="str">
        <f>IFERROR(__xludf.DUMMYFUNCTION("""COMPUTED_VALUE"""),"Omar Abu Alwafa CV 2026.pdf")</f>
        <v>Omar Abu Alwafa CV 2026.pdf</v>
      </c>
      <c r="AN133" s="61" t="str">
        <f>IFERROR(__xludf.DUMMYFUNCTION("""COMPUTED_VALUE"""),"Am I exaggerating to state that I daydream about changing the world almost everyday? I envision a brighter more just world, a liberated Palestine, and a global south free from all faces of modern colonialism. Regarding the actions, I joined an internation"&amp;"al youth network (Al-Sharq Network) and enrolled in a 3 month leadership training program, that included group tasks and facilitating a workshop. I traveled to Istanbul last year to the network's annual conference &amp; camp retreat. To be honest, I feel I'm "&amp;"not even close to my vision &amp; I look for opportunities to attain it.")</f>
        <v>Am I exaggerating to state that I daydream about changing the world almost everyday? I envision a brighter more just world, a liberated Palestine, and a global south free from all faces of modern colonialism. Regarding the actions, I joined an international youth network (Al-Sharq Network) and enrolled in a 3 month leadership training program, that included group tasks and facilitating a workshop. I traveled to Istanbul last year to the network's annual conference &amp; camp retreat. To be honest, I feel I'm not even close to my vision &amp; I look for opportunities to attain it.</v>
      </c>
      <c r="AO133" s="61" t="str">
        <f>IFERROR(__xludf.DUMMYFUNCTION("""COMPUTED_VALUE"""),"Qatar, first country that pops to my mind, for it's role in mediating many conflicts and it's ongoing efforts to stabilize the ceasefire in Gaza, &amp; reaching an agreement between the United States and Iran.
I see Türkiye too as a diplomatically significant"&amp;" country, it plays a major role mediating between Russia &amp; Ukraine. And have huge influence in Syria, Iraq &amp; the the Mediterranean Sea.")</f>
        <v>Qatar, first country that pops to my mind, for it's role in mediating many conflicts and it's ongoing efforts to stabilize the ceasefire in Gaza, &amp; reaching an agreement between the United States and Iran.
I see Türkiye too as a diplomatically significant country, it plays a major role mediating between Russia &amp; Ukraine. And have huge influence in Syria, Iraq &amp; the the Mediterranean Sea.</v>
      </c>
      <c r="AP133" s="61" t="str">
        <f>IFERROR(__xludf.DUMMYFUNCTION("""COMPUTED_VALUE"""),"I believe the youth are the best content creators &amp; unofficial ambassadors any nation can have as engines for public diplomacy. Why? Because they give the most energy &amp; have the tools &amp; are keeping up with technology &amp; social media to stay connected with "&amp;"fellow youth around the globe. Another good reason is that the youth among the global south -and all over the world- are rapidly realizing the devastating consequences of the status quo: The wars, the climate change, the exploitation of resources, water p"&amp;"ollution, the cultural colonialism &amp; more. I think I relate to public diplomacy as a tool to navigate these complex challenges and to be an acting force in shaping the bright future.")</f>
        <v>I believe the youth are the best content creators &amp; unofficial ambassadors any nation can have as engines for public diplomacy. Why? Because they give the most energy &amp; have the tools &amp; are keeping up with technology &amp; social media to stay connected with fellow youth around the globe. Another good reason is that the youth among the global south -and all over the world- are rapidly realizing the devastating consequences of the status quo: The wars, the climate change, the exploitation of resources, water pollution, the cultural colonialism &amp; more. I think I relate to public diplomacy as a tool to navigate these complex challenges and to be an acting force in shaping the bright future.</v>
      </c>
      <c r="AQ133" s="61" t="str">
        <f>IFERROR(__xludf.DUMMYFUNCTION("""COMPUTED_VALUE"""),"I struggled in the teenage years with the concept of passion, but now I can draw three intersected circles: Action, Responsibility &amp; goodness. At the center of the intersection between these three concepts is passion. In my point of view, youth can feel a"&amp;" great sense of passion once they take responsibility &amp; action for the greater goodness. Passion can drive me forward to face the challenges &amp; overcome them.")</f>
        <v>I struggled in the teenage years with the concept of passion, but now I can draw three intersected circles: Action, Responsibility &amp; goodness. At the center of the intersection between these three concepts is passion. In my point of view, youth can feel a great sense of passion once they take responsibility &amp; action for the greater goodness. Passion can drive me forward to face the challenges &amp; overcome them.</v>
      </c>
      <c r="AR133" s="61" t="str">
        <f>IFERROR(__xludf.DUMMYFUNCTION("""COMPUTED_VALUE"""),"Praise be to Allah, YES! I work on designing concepts &amp; visual identities on daily basis. That's one part of creativity, another part is that I can connect different concepts &amp; come up with ideas for problems. I enjoy writing a lot, writing to find &amp; arti"&amp;"culate solutions &amp; ideas. How can I build an effective public diplomacy strategy? That's a deep question that needs deep thinking, I'll start with the country positioning now &amp; the desired new public image that the strategy will work for. I'll define the "&amp;"goals, the resources &amp; most importantly: the country needs &amp; aspirations. Then I'll brainstorm the tools, the organizations &amp; the stakeholders that will play parts in it. Third, I'll study the global best practices &amp; analyze case studies. I'll consult loc"&amp;"al experts, politicians, historians &amp; thought leaders before executing the strategy. It'll be a thought provoking journey filled with insights &amp; challenges.")</f>
        <v>Praise be to Allah, YES! I work on designing concepts &amp; visual identities on daily basis. That's one part of creativity, another part is that I can connect different concepts &amp; come up with ideas for problems. I enjoy writing a lot, writing to find &amp; articulate solutions &amp; ideas. How can I build an effective public diplomacy strategy? That's a deep question that needs deep thinking, I'll start with the country positioning now &amp; the desired new public image that the strategy will work for. I'll define the goals, the resources &amp; most importantly: the country needs &amp; aspirations. Then I'll brainstorm the tools, the organizations &amp; the stakeholders that will play parts in it. Third, I'll study the global best practices &amp; analyze case studies. I'll consult local experts, politicians, historians &amp; thought leaders before executing the strategy. It'll be a thought provoking journey filled with insights &amp; challenges.</v>
      </c>
      <c r="AS133" s="61" t="str">
        <f>IFERROR(__xludf.DUMMYFUNCTION("""COMPUTED_VALUE"""),"Yes")</f>
        <v>Yes</v>
      </c>
      <c r="AT133" s="61" t="str">
        <f>IFERROR(__xludf.DUMMYFUNCTION("""COMPUTED_VALUE"""),"Yes")</f>
        <v>Yes</v>
      </c>
      <c r="AU133" s="61" t="str">
        <f>IFERROR(__xludf.DUMMYFUNCTION("""COMPUTED_VALUE"""),"Strategy, Peace &amp; Cultural Diplomacy")</f>
        <v>Strategy, Peace &amp; Cultural Diplomacy</v>
      </c>
      <c r="AV133" s="61" t="str">
        <f>IFERROR(__xludf.DUMMYFUNCTION("""COMPUTED_VALUE"""),"My Brother shared a post about the summit")</f>
        <v>My Brother shared a post about the summit</v>
      </c>
      <c r="AW133" s="61" t="str">
        <f>IFERROR(__xludf.DUMMYFUNCTION("""COMPUTED_VALUE"""),"Conflict Resolution, Debating, Medaiting")</f>
        <v>Conflict Resolution, Debating, Medaiting</v>
      </c>
      <c r="AX133" s="66" t="str">
        <f>IFERROR(__xludf.DUMMYFUNCTION("""COMPUTED_VALUE"""),"Yes")</f>
        <v>Yes</v>
      </c>
      <c r="AY133" s="66">
        <f>IFERROR(__xludf.DUMMYFUNCTION("""COMPUTED_VALUE"""),15.99)</f>
        <v>15.99</v>
      </c>
      <c r="AZ133" s="61"/>
      <c r="BA133" s="61"/>
      <c r="BB133" s="61"/>
      <c r="BC133" s="61"/>
      <c r="BD133" s="61"/>
      <c r="BE133" s="61"/>
      <c r="BF133" s="61"/>
      <c r="BG133" s="61"/>
      <c r="BH133" s="61"/>
      <c r="BI133" s="61"/>
      <c r="BJ133" s="61"/>
      <c r="BK133" s="61"/>
      <c r="BL133" s="61"/>
      <c r="BM133" s="61"/>
      <c r="BN133" s="61"/>
      <c r="BO133" s="61"/>
      <c r="BP133" s="61"/>
      <c r="BQ133" s="61"/>
      <c r="BR133" s="61"/>
    </row>
    <row r="134" ht="15.75" customHeight="1">
      <c r="A134" s="61" t="str">
        <f>IFERROR(__xludf.DUMMYFUNCTION("""COMPUTED_VALUE"""),"Full")</f>
        <v>Full</v>
      </c>
      <c r="B134" s="62">
        <f>IFERROR(__xludf.DUMMYFUNCTION("""COMPUTED_VALUE"""),158.0)</f>
        <v>158</v>
      </c>
      <c r="C134" s="61" t="str">
        <f>IFERROR(__xludf.DUMMYFUNCTION("""COMPUTED_VALUE"""),"Full")</f>
        <v>Full</v>
      </c>
      <c r="D134" s="63" t="str">
        <f>IFERROR(__xludf.DUMMYFUNCTION("""COMPUTED_VALUE"""),"Submitted")</f>
        <v>Submitted</v>
      </c>
      <c r="E134" s="63">
        <f>IFERROR(__xludf.DUMMYFUNCTION("""COMPUTED_VALUE"""),46208.99861111111)</f>
        <v>46208.99861</v>
      </c>
      <c r="F134" s="61" t="str">
        <f>IFERROR(__xludf.DUMMYFUNCTION("""COMPUTED_VALUE"""),"Syeda Moneebah Noman")</f>
        <v>Syeda Moneebah Noman</v>
      </c>
      <c r="G134" s="61" t="str">
        <f>IFERROR(__xludf.DUMMYFUNCTION("""COMPUTED_VALUE"""),"Syeda Moneebah Noman")</f>
        <v>Syeda Moneebah Noman</v>
      </c>
      <c r="H134" s="61" t="str">
        <f>IFERROR(__xludf.DUMMYFUNCTION("""COMPUTED_VALUE"""),"moneebah.py@gmail.com")</f>
        <v>moneebah.py@gmail.com</v>
      </c>
      <c r="I134" s="61" t="str">
        <f>IFERROR(__xludf.DUMMYFUNCTION("""COMPUTED_VALUE"""),"muneeba2002@gmail.com")</f>
        <v>muneeba2002@gmail.com</v>
      </c>
      <c r="J134" s="61" t="str">
        <f>IFERROR(__xludf.DUMMYFUNCTION("""COMPUTED_VALUE"""),"Metropolis Residency, Jinnah Avenue, Karachi, Pakistan, Near Jinnah Icon Mall, Karachi, Karachi, Pakistan")</f>
        <v>Metropolis Residency, Jinnah Avenue, Karachi, Pakistan, Near Jinnah Icon Mall, Karachi, Karachi, Pakistan</v>
      </c>
      <c r="K134" s="61" t="str">
        <f>IFERROR(__xludf.DUMMYFUNCTION("""COMPUTED_VALUE"""),"Pakistani")</f>
        <v>Pakistani</v>
      </c>
      <c r="L134" s="64" t="str">
        <f>IFERROR(__xludf.DUMMYFUNCTION("""COMPUTED_VALUE"""),"+923332841220")</f>
        <v>+923332841220</v>
      </c>
      <c r="M134" s="64">
        <f>IFERROR(__xludf.DUMMYFUNCTION("""COMPUTED_VALUE"""),37611.0)</f>
        <v>37611</v>
      </c>
      <c r="N134" s="61" t="str">
        <f>IFERROR(__xludf.DUMMYFUNCTION("""COMPUTED_VALUE"""),"AK9200883")</f>
        <v>AK9200883</v>
      </c>
      <c r="O134" s="61" t="str">
        <f>IFERROR(__xludf.DUMMYFUNCTION("""COMPUTED_VALUE"""),"+923330600316")</f>
        <v>+923330600316</v>
      </c>
      <c r="P134" s="65" t="str">
        <f>IFERROR(__xludf.DUMMYFUNCTION("""COMPUTED_VALUE"""),"https://www.linkedin.com/in/moneebah/")</f>
        <v>https://www.linkedin.com/in/moneebah/</v>
      </c>
      <c r="Q134" s="61"/>
      <c r="R134" s="61"/>
      <c r="S134" s="61" t="str">
        <f>IFERROR(__xludf.DUMMYFUNCTION("""COMPUTED_VALUE"""),"Passport1.pdf")</f>
        <v>Passport1.pdf</v>
      </c>
      <c r="T134" s="61" t="str">
        <f>IFERROR(__xludf.DUMMYFUNCTION("""COMPUTED_VALUE"""),"Moneebah image.jpg")</f>
        <v>Moneebah image.jpg</v>
      </c>
      <c r="U134" s="61" t="str">
        <f>IFERROR(__xludf.DUMMYFUNCTION("""COMPUTED_VALUE"""),"Bachelors")</f>
        <v>Bachelors</v>
      </c>
      <c r="V134" s="61" t="str">
        <f>IFERROR(__xludf.DUMMYFUNCTION("""COMPUTED_VALUE"""),"Engineering")</f>
        <v>Engineering</v>
      </c>
      <c r="W134" s="61" t="str">
        <f>IFERROR(__xludf.DUMMYFUNCTION("""COMPUTED_VALUE"""),"Software Engineering")</f>
        <v>Software Engineering</v>
      </c>
      <c r="X134" s="61" t="str">
        <f>IFERROR(__xludf.DUMMYFUNCTION("""COMPUTED_VALUE"""),"NED University of Engineering and Technology")</f>
        <v>NED University of Engineering and Technology</v>
      </c>
      <c r="Y134" s="61" t="str">
        <f>IFERROR(__xludf.DUMMYFUNCTION("""COMPUTED_VALUE"""),"No")</f>
        <v>No</v>
      </c>
      <c r="Z134" s="61" t="str">
        <f>IFERROR(__xludf.DUMMYFUNCTION("""COMPUTED_VALUE"""),"Pakistan")</f>
        <v>Pakistan</v>
      </c>
      <c r="AA134" s="61" t="str">
        <f>IFERROR(__xludf.DUMMYFUNCTION("""COMPUTED_VALUE"""),"No")</f>
        <v>No</v>
      </c>
      <c r="AB134" s="61"/>
      <c r="AC134" s="61" t="str">
        <f>IFERROR(__xludf.DUMMYFUNCTION("""COMPUTED_VALUE"""),"Yes I am")</f>
        <v>Yes I am</v>
      </c>
      <c r="AD134" s="61" t="str">
        <f>IFERROR(__xludf.DUMMYFUNCTION("""COMPUTED_VALUE"""),"Yes: Google Developer Group on Campus (NEDUET) and Dar-ul-Sukhun.")</f>
        <v>Yes: Google Developer Group on Campus (NEDUET) and Dar-ul-Sukhun.</v>
      </c>
      <c r="AE134" s="65" t="str">
        <f>IFERROR(__xludf.DUMMYFUNCTION("""COMPUTED_VALUE"""),"https://www.linkedin.com/company/dscneduet/")</f>
        <v>https://www.linkedin.com/company/dscneduet/</v>
      </c>
      <c r="AF134" s="61" t="str">
        <f>IFERROR(__xludf.DUMMYFUNCTION("""COMPUTED_VALUE"""),"Technical Lead (GDG) and Team Lead for Pakistan's first global Top 10 team in the Google Solutions Challenge.")</f>
        <v>Technical Lead (GDG) and Team Lead for Pakistan's first global Top 10 team in the Google Solutions Challenge.</v>
      </c>
      <c r="AG134" s="61" t="str">
        <f>IFERROR(__xludf.DUMMYFUNCTION("""COMPUTED_VALUE"""),"2")</f>
        <v>2</v>
      </c>
      <c r="AH134" s="61" t="str">
        <f>IFERROR(__xludf.DUMMYFUNCTION("""COMPUTED_VALUE"""),"Yes")</f>
        <v>Yes</v>
      </c>
      <c r="AI134" s="61" t="str">
        <f>IFERROR(__xludf.DUMMYFUNCTION("""COMPUTED_VALUE"""),"Founder (Self-Employed) I am currently self-employed building my startup.")</f>
        <v>Founder (Self-Employed) I am currently self-employed building my startup.</v>
      </c>
      <c r="AJ134" s="61" t="str">
        <f>IFERROR(__xludf.DUMMYFUNCTION("""COMPUTED_VALUE"""),"Currently In development / Launching phase")</f>
        <v>Currently In development / Launching phase</v>
      </c>
      <c r="AK134" s="61" t="str">
        <f>IFERROR(__xludf.DUMMYFUNCTION("""COMPUTED_VALUE"""),"To teach technical youth to use the exact resources they currently have to build ventures that scale globally. Inspired by how my own tech journey motivated local university students, the platform focuses on turning local engineering talent into self-sust"&amp;"aining ventures that reach international standards and recognition while directly improving local lives.")</f>
        <v>To teach technical youth to use the exact resources they currently have to build ventures that scale globally. Inspired by how my own tech journey motivated local university students, the platform focuses on turning local engineering talent into self-sustaining ventures that reach international standards and recognition while directly improving local lives.</v>
      </c>
      <c r="AL134" s="61" t="str">
        <f>IFERROR(__xludf.DUMMYFUNCTION("""COMPUTED_VALUE"""),"Tech Venture Building, Cross-Functional Team Leadership, Corporate Client Management, and Strategic Communication.")</f>
        <v>Tech Venture Building, Cross-Functional Team Leadership, Corporate Client Management, and Strategic Communication.</v>
      </c>
      <c r="AM134" s="61" t="str">
        <f>IFERROR(__xludf.DUMMYFUNCTION("""COMPUTED_VALUE"""),"Moneebah CV (AI Global Advocacy).pdf")</f>
        <v>Moneebah CV (AI Global Advocacy).pdf</v>
      </c>
      <c r="AN134" s="61" t="str">
        <f>IFERROR(__xludf.DUMMYFUNCTION("""COMPUTED_VALUE"""),"I used to think changing the world meant engineering the perfect solution to a standalone problem, but true impact happens when you empower others to build, creating a self-sustaining chain reaction. My journey started at the neuro-lab, where I utilized g"&amp;"enerative models to upgrade low-cost eye diagnostic devices for underserved clinics. Later, seeing my cousin completely isolated by a severe gluten allergy drove me to build BYTE for the Google Solutions Challenge. Yet, the real transformation occurred wh"&amp;"en I hosted massive community workshops; by enabling young creators to execute their own ideas, I realized leadership is about scaling human agency.")</f>
        <v>I used to think changing the world meant engineering the perfect solution to a standalone problem, but true impact happens when you empower others to build, creating a self-sustaining chain reaction. My journey started at the neuro-lab, where I utilized generative models to upgrade low-cost eye diagnostic devices for underserved clinics. Later, seeing my cousin completely isolated by a severe gluten allergy drove me to build BYTE for the Google Solutions Challenge. Yet, the real transformation occurred when I hosted massive community workshops; by enabling young creators to execute their own ideas, I realized leadership is about scaling human agency.</v>
      </c>
      <c r="AO134" s="61" t="str">
        <f>IFERROR(__xludf.DUMMYFUNCTION("""COMPUTED_VALUE"""),"I think Pakistan holds an undeniable significance today because of how it navigates the modern world order. Geographically, it sits at the literal crossroads where the Middle East, Central Asia, and the Global South meet. Recently, its role has become cri"&amp;"tical as an active member of the SCO and a key bridge in the MENAP region, balancing complex ties with China, the US, and Iran simultaneously. For me as a founder, I am going all in on diplomacy because Pakistan proves that regional soft power and narrati"&amp;"ve resilience can command global respect and protect national sovereignty without relying purely on external capital.")</f>
        <v>I think Pakistan holds an undeniable significance today because of how it navigates the modern world order. Geographically, it sits at the literal crossroads where the Middle East, Central Asia, and the Global South meet. Recently, its role has become critical as an active member of the SCO and a key bridge in the MENAP region, balancing complex ties with China, the US, and Iran simultaneously. For me as a founder, I am going all in on diplomacy because Pakistan proves that regional soft power and narrative resilience can command global respect and protect national sovereignty without relying purely on external capital.</v>
      </c>
      <c r="AP134" s="61" t="str">
        <f>IFERROR(__xludf.DUMMYFUNCTION("""COMPUTED_VALUE"""),"I think the youth's role in diplomacy starts with a heavy realization: our generation has grown up completely desensitized by structural miscommunication and hostile headlines. To break this cynicism, we must treat trust like oxygen, the invisible, non-ne"&amp;"gotiable baseline of public diplomacy. At 23, building my own startup, I see that our unique advantage is our capacity to look past short-term noise and focus purely on long-term, human relationships. Public diplomacy is not a macro-level public relations"&amp;" campaign; it is the art of personal advocacy. It requires sitting down with a person, looking past their professional accolades, and engaging directly with their true character. When we stop accepting hostile external narratives and actively own our stor"&amp;"ies, we can coordinate across borders with unprecedented velocity. This human-centric approach to teamwork creates a massive compound effect; when young builders see that cross-border collaboration actually works, decades of regional distrust instantly co"&amp;"llapse. I want to bring this focus to the Jakarta policy labs to show how individual credibility scales into lasting regional cooperation.")</f>
        <v>I think the youth's role in diplomacy starts with a heavy realization: our generation has grown up completely desensitized by structural miscommunication and hostile headlines. To break this cynicism, we must treat trust like oxygen, the invisible, non-negotiable baseline of public diplomacy. At 23, building my own startup, I see that our unique advantage is our capacity to look past short-term noise and focus purely on long-term, human relationships. Public diplomacy is not a macro-level public relations campaign; it is the art of personal advocacy. It requires sitting down with a person, looking past their professional accolades, and engaging directly with their true character. When we stop accepting hostile external narratives and actively own our stories, we can coordinate across borders with unprecedented velocity. This human-centric approach to teamwork creates a massive compound effect; when young builders see that cross-border collaboration actually works, decades of regional distrust instantly collapse. I want to bring this focus to the Jakarta policy labs to show how individual credibility scales into lasting regional cooperation.</v>
      </c>
      <c r="AQ134" s="61" t="str">
        <f>IFERROR(__xludf.DUMMYFUNCTION("""COMPUTED_VALUE"""),"I think true passion is having an unshakeable ""why"" that helps you survive any difficult ""how."" It means tying your identity to a goal that is bigger than your own ego and leaves a lasting system behind. In entrepreneurship, this mental resilience is "&amp;"tested every single day. It is incredibly easy to wake up and execute when things are going perfectly and everyone is cheering you on. But for me, passion is the quiet discipline that keeps you showing up, organizing your team, and building when everythin"&amp;"g is going wrong and momentum stalls. By focusing my energy on a larger collective goal—like mentoring technical youth to become self-reliant creators, obstacles just become technical problems to solve rather than personal failures. Passion is the deep, i"&amp;"nternal grit that keeps you grounded, disciplined, and moving forward during the most challenging days of the journey.")</f>
        <v>I think true passion is having an unshakeable "why" that helps you survive any difficult "how." It means tying your identity to a goal that is bigger than your own ego and leaves a lasting system behind. In entrepreneurship, this mental resilience is tested every single day. It is incredibly easy to wake up and execute when things are going perfectly and everyone is cheering you on. But for me, passion is the quiet discipline that keeps you showing up, organizing your team, and building when everything is going wrong and momentum stalls. By focusing my energy on a larger collective goal—like mentoring technical youth to become self-reliant creators, obstacles just become technical problems to solve rather than personal failures. Passion is the deep, internal grit that keeps you grounded, disciplined, and moving forward during the most challenging days of the journey.</v>
      </c>
      <c r="AR134" s="61" t="str">
        <f>IFERROR(__xludf.DUMMYFUNCTION("""COMPUTED_VALUE"""),"Yes, I am creative. To me, creativity is the strategic communication of emotion to bring a fragmented group together for a shared purpose. Having hosted podcasts, directed media content, and run graphic design, I know that the best public diplomacy is nev"&amp;"er just a communication campaign. It is the visible expression of a nation's true character over time. When foreign travelers visit Pakistan, they are consistently shocked by the incredible warmth and hospitality they experience, which completely shatters"&amp;" the negative stereotypes shown on the news. My public diplomacy strategy is about narrative sovereignty, using visual storytelling to tell our own stories instead of letting others define us. Inspired by leaders who used powerful communication to unite p"&amp;"eople and spark national movements, I focus on the behavioral science of media. Credibility cannot be faked; it grows only when words and actions match perfectly. By sharing our authentic culture through clean, creative execution, we build the genuine bas"&amp;"eline trust that is required to create long-lasting international relationships.")</f>
        <v>Yes, I am creative. To me, creativity is the strategic communication of emotion to bring a fragmented group together for a shared purpose. Having hosted podcasts, directed media content, and run graphic design, I know that the best public diplomacy is never just a communication campaign. It is the visible expression of a nation's true character over time. When foreign travelers visit Pakistan, they are consistently shocked by the incredible warmth and hospitality they experience, which completely shatters the negative stereotypes shown on the news. My public diplomacy strategy is about narrative sovereignty, using visual storytelling to tell our own stories instead of letting others define us. Inspired by leaders who used powerful communication to unite people and spark national movements, I focus on the behavioral science of media. Credibility cannot be faked; it grows only when words and actions match perfectly. By sharing our authentic culture through clean, creative execution, we build the genuine baseline trust that is required to create long-lasting international relationships.</v>
      </c>
      <c r="AS134" s="61" t="str">
        <f>IFERROR(__xludf.DUMMYFUNCTION("""COMPUTED_VALUE"""),"Yes")</f>
        <v>Yes</v>
      </c>
      <c r="AT134" s="61" t="str">
        <f>IFERROR(__xludf.DUMMYFUNCTION("""COMPUTED_VALUE"""),"Yes")</f>
        <v>Yes</v>
      </c>
      <c r="AU134" s="61" t="str">
        <f>IFERROR(__xludf.DUMMYFUNCTION("""COMPUTED_VALUE"""),"Global Politics, Diplomacy &amp; Identities")</f>
        <v>Global Politics, Diplomacy &amp; Identities</v>
      </c>
      <c r="AV134" s="61" t="str">
        <f>IFERROR(__xludf.DUMMYFUNCTION("""COMPUTED_VALUE"""),"Google Search")</f>
        <v>Google Search</v>
      </c>
      <c r="AW134" s="61"/>
      <c r="AX134" s="66" t="str">
        <f>IFERROR(__xludf.DUMMYFUNCTION("""COMPUTED_VALUE"""),"Yes")</f>
        <v>Yes</v>
      </c>
      <c r="AY134" s="66">
        <f>IFERROR(__xludf.DUMMYFUNCTION("""COMPUTED_VALUE"""),15.99)</f>
        <v>15.99</v>
      </c>
      <c r="AZ134" s="61"/>
      <c r="BA134" s="61"/>
      <c r="BB134" s="61"/>
      <c r="BC134" s="61"/>
      <c r="BD134" s="61"/>
      <c r="BE134" s="61"/>
      <c r="BF134" s="61"/>
      <c r="BG134" s="61"/>
      <c r="BH134" s="61"/>
      <c r="BI134" s="61"/>
      <c r="BJ134" s="61"/>
      <c r="BK134" s="61"/>
      <c r="BL134" s="61"/>
      <c r="BM134" s="61"/>
      <c r="BN134" s="61"/>
      <c r="BO134" s="61"/>
      <c r="BP134" s="61"/>
      <c r="BQ134" s="61"/>
      <c r="BR134" s="61"/>
    </row>
    <row r="135" ht="15.75" customHeight="1">
      <c r="A135" s="61" t="str">
        <f>IFERROR(__xludf.DUMMYFUNCTION("""COMPUTED_VALUE"""),"Partial")</f>
        <v>Partial</v>
      </c>
      <c r="B135" s="62">
        <f>IFERROR(__xludf.DUMMYFUNCTION("""COMPUTED_VALUE"""),159.0)</f>
        <v>159</v>
      </c>
      <c r="C135" s="61" t="str">
        <f>IFERROR(__xludf.DUMMYFUNCTION("""COMPUTED_VALUE"""),"Partial")</f>
        <v>Partial</v>
      </c>
      <c r="D135" s="63" t="str">
        <f>IFERROR(__xludf.DUMMYFUNCTION("""COMPUTED_VALUE"""),"Submitted")</f>
        <v>Submitted</v>
      </c>
      <c r="E135" s="63">
        <f>IFERROR(__xludf.DUMMYFUNCTION("""COMPUTED_VALUE"""),46209.03472222222)</f>
        <v>46209.03472</v>
      </c>
      <c r="F135" s="61" t="str">
        <f>IFERROR(__xludf.DUMMYFUNCTION("""COMPUTED_VALUE"""),"Halbast Karim")</f>
        <v>Halbast Karim</v>
      </c>
      <c r="G135" s="61" t="str">
        <f>IFERROR(__xludf.DUMMYFUNCTION("""COMPUTED_VALUE"""),"Halbast Abdullah Karim")</f>
        <v>Halbast Abdullah Karim</v>
      </c>
      <c r="H135" s="61" t="str">
        <f>IFERROR(__xludf.DUMMYFUNCTION("""COMPUTED_VALUE"""),"halbast.abdwlah@gmail.com")</f>
        <v>halbast.abdwlah@gmail.com</v>
      </c>
      <c r="I135" s="61" t="str">
        <f>IFERROR(__xludf.DUMMYFUNCTION("""COMPUTED_VALUE"""),"nwakarim123@gmail.com")</f>
        <v>nwakarim123@gmail.com</v>
      </c>
      <c r="J135" s="61" t="str">
        <f>IFERROR(__xludf.DUMMYFUNCTION("""COMPUTED_VALUE"""),"Azmar Area, Sulaymaniyah, Iraq")</f>
        <v>Azmar Area, Sulaymaniyah, Iraq</v>
      </c>
      <c r="K135" s="61" t="str">
        <f>IFERROR(__xludf.DUMMYFUNCTION("""COMPUTED_VALUE"""),"Iraqi")</f>
        <v>Iraqi</v>
      </c>
      <c r="L135" s="64" t="str">
        <f>IFERROR(__xludf.DUMMYFUNCTION("""COMPUTED_VALUE"""),"+9647711558764")</f>
        <v>+9647711558764</v>
      </c>
      <c r="M135" s="64">
        <f>IFERROR(__xludf.DUMMYFUNCTION("""COMPUTED_VALUE"""),33756.0)</f>
        <v>33756</v>
      </c>
      <c r="N135" s="61" t="str">
        <f>IFERROR(__xludf.DUMMYFUNCTION("""COMPUTED_VALUE"""),"A19153349")</f>
        <v>A19153349</v>
      </c>
      <c r="O135" s="61" t="str">
        <f>IFERROR(__xludf.DUMMYFUNCTION("""COMPUTED_VALUE"""),"+9647708003608")</f>
        <v>+9647708003608</v>
      </c>
      <c r="P135" s="65" t="str">
        <f>IFERROR(__xludf.DUMMYFUNCTION("""COMPUTED_VALUE"""),"https://www.linkedin.com/in/halbast-abdulah-0178b487?originalSubdomain=iq")</f>
        <v>https://www.linkedin.com/in/halbast-abdulah-0178b487?originalSubdomain=iq</v>
      </c>
      <c r="Q135" s="61"/>
      <c r="R135" s="65" t="str">
        <f>IFERROR(__xludf.DUMMYFUNCTION("""COMPUTED_VALUE"""),"https://www.facebook.com/share/1GstVxZhXn/?mibextid=wwXIfr")</f>
        <v>https://www.facebook.com/share/1GstVxZhXn/?mibextid=wwXIfr</v>
      </c>
      <c r="S135" s="61" t="str">
        <f>IFERROR(__xludf.DUMMYFUNCTION("""COMPUTED_VALUE"""),"Passport (Halbast Abdullah).pdf")</f>
        <v>Passport (Halbast Abdullah).pdf</v>
      </c>
      <c r="T135" s="61" t="str">
        <f>IFERROR(__xludf.DUMMYFUNCTION("""COMPUTED_VALUE"""),"Halbast Abdulla.jpg")</f>
        <v>Halbast Abdulla.jpg</v>
      </c>
      <c r="U135" s="61" t="str">
        <f>IFERROR(__xludf.DUMMYFUNCTION("""COMPUTED_VALUE"""),"Master's")</f>
        <v>Master's</v>
      </c>
      <c r="V135" s="61" t="str">
        <f>IFERROR(__xludf.DUMMYFUNCTION("""COMPUTED_VALUE"""),"Masters in Business Administration")</f>
        <v>Masters in Business Administration</v>
      </c>
      <c r="W135" s="61" t="str">
        <f>IFERROR(__xludf.DUMMYFUNCTION("""COMPUTED_VALUE"""),"Marketing")</f>
        <v>Marketing</v>
      </c>
      <c r="X135" s="61" t="str">
        <f>IFERROR(__xludf.DUMMYFUNCTION("""COMPUTED_VALUE"""),"The American University of Iraq Sulaimani")</f>
        <v>The American University of Iraq Sulaimani</v>
      </c>
      <c r="Y135" s="61" t="str">
        <f>IFERROR(__xludf.DUMMYFUNCTION("""COMPUTED_VALUE"""),"Yes")</f>
        <v>Yes</v>
      </c>
      <c r="Z135" s="61" t="str">
        <f>IFERROR(__xludf.DUMMYFUNCTION("""COMPUTED_VALUE"""),"Iraq")</f>
        <v>Iraq</v>
      </c>
      <c r="AA135" s="61" t="str">
        <f>IFERROR(__xludf.DUMMYFUNCTION("""COMPUTED_VALUE"""),"Yes")</f>
        <v>Yes</v>
      </c>
      <c r="AB135" s="61" t="str">
        <f>IFERROR(__xludf.DUMMYFUNCTION("""COMPUTED_VALUE"""),"Leadership Course at National and Kapodistrian University of Athens and the Global Youth Convention at Milan/ Italy 2025")</f>
        <v>Leadership Course at National and Kapodistrian University of Athens and the Global Youth Convention at Milan/ Italy 2025</v>
      </c>
      <c r="AC135" s="61"/>
      <c r="AD135" s="61" t="str">
        <f>IFERROR(__xludf.DUMMYFUNCTION("""COMPUTED_VALUE"""),"yes, Summer of Hope Project Iraqi Children Foundation (Partner Organization) Education for Peace in Iraq Center (EPIC) (Partner Organization) Vim Foundation (Partner Organization)")</f>
        <v>yes, Summer of Hope Project Iraqi Children Foundation (Partner Organization) Education for Peace in Iraq Center (EPIC) (Partner Organization) Vim Foundation (Partner Organization)</v>
      </c>
      <c r="AE135" s="61" t="str">
        <f>IFERROR(__xludf.DUMMYFUNCTION("""COMPUTED_VALUE"""),"https://iraqichildren.org,https://enablingpeace.org")</f>
        <v>https://iraqichildren.org,https://enablingpeace.org</v>
      </c>
      <c r="AF135" s="61" t="str">
        <f>IFERROR(__xludf.DUMMYFUNCTION("""COMPUTED_VALUE"""),"Founder &amp; Project Director")</f>
        <v>Founder &amp; Project Director</v>
      </c>
      <c r="AG135" s="61" t="str">
        <f>IFERROR(__xludf.DUMMYFUNCTION("""COMPUTED_VALUE"""),"4 years")</f>
        <v>4 years</v>
      </c>
      <c r="AH135" s="61" t="str">
        <f>IFERROR(__xludf.DUMMYFUNCTION("""COMPUTED_VALUE"""),"Yes")</f>
        <v>Yes</v>
      </c>
      <c r="AI135" s="61" t="str">
        <f>IFERROR(__xludf.DUMMYFUNCTION("""COMPUTED_VALUE"""),"Library Manager and Academic Coordinator of the VPAA Office at the American University of Iraq Sulaymani")</f>
        <v>Library Manager and Academic Coordinator of the VPAA Office at the American University of Iraq Sulaymani</v>
      </c>
      <c r="AJ135" s="61" t="str">
        <f>IFERROR(__xludf.DUMMYFUNCTION("""COMPUTED_VALUE"""),"An initiation not organization it is called Sexual Harassment Safety &amp; Awareness Initiative (SHSAI)  I am one of the Co founder of this initiative")</f>
        <v>An initiation not organization it is called Sexual Harassment Safety &amp; Awareness Initiative (SHSAI)  I am one of the Co founder of this initiative</v>
      </c>
      <c r="AK135" s="61" t="str">
        <f>IFERROR(__xludf.DUMMYFUNCTION("""COMPUTED_VALUE"""),"The main aim of the initiative is to produce AI-generated video content tailored for preschool, primary, and secondary school audiences, equipping children and young people with the knowledge and tools to recognize and protect themselves from sexual haras"&amp;"sment.")</f>
        <v>The main aim of the initiative is to produce AI-generated video content tailored for preschool, primary, and secondary school audiences, equipping children and young people with the knowledge and tools to recognize and protect themselves from sexual harassment.</v>
      </c>
      <c r="AL135" s="61" t="str">
        <f>IFERROR(__xludf.DUMMYFUNCTION("""COMPUTED_VALUE"""),"Community DevelopmentProject Management Leadership Grant Writing &amp; Fundraising International Partnership Development Cross-Cultural Communication Public Speaking Event Management Program Design &amp; Implementation Cultural Heritage Preservation Strategic Pla"&amp;"nning Volunteer Management")</f>
        <v>Community DevelopmentProject Management Leadership Grant Writing &amp; Fundraising International Partnership Development Cross-Cultural Communication Public Speaking Event Management Program Design &amp; Implementation Cultural Heritage Preservation Strategic Planning Volunteer Management</v>
      </c>
      <c r="AM135" s="61" t="str">
        <f>IFERROR(__xludf.DUMMYFUNCTION("""COMPUTED_VALUE"""),"Halbast_Abdullah_CV 2026.pdf")</f>
        <v>Halbast_Abdullah_CV 2026.pdf</v>
      </c>
      <c r="AN135" s="61" t="str">
        <f>IFERROR(__xludf.DUMMYFUNCTION("""COMPUTED_VALUE"""),"Yes. I believe changing the world starts by improving the lives of people around us. Since becoming Library Manager, I have worked to transform education into a tool for community development. In 2023, I founded the Summer of Hope Project, an educational "&amp;"program for orphaned children, and this year I successfully raised USD 20,000 to keep its third annual edition alive for 30 children. My mission for this program is to give orphaned children consistent learning opportunities, confidence, and a sense of be"&amp;"longing. For almost two months, we met nearly every day for English, reading, art, life skills, yoga and meditation, environmental awareness, chess, and ballet classes. At the closing ceremony, I witnessed how the children had grown in confidence, discipl"&amp;"ine, and joy and how the orphanage itself had become a more hopeful and active learning environment. This summer, I am also working on a new project to connect adult orphans with AUIS alumni and help place them in workplaces and companies owned by our alu"&amp;"mni. These experiences strengthened my belief that sustainable change begins with leadership and empowerment.")</f>
        <v>Yes. I believe changing the world starts by improving the lives of people around us. Since becoming Library Manager, I have worked to transform education into a tool for community development. In 2023, I founded the Summer of Hope Project, an educational program for orphaned children, and this year I successfully raised USD 20,000 to keep its third annual edition alive for 30 children. My mission for this program is to give orphaned children consistent learning opportunities, confidence, and a sense of belonging. For almost two months, we met nearly every day for English, reading, art, life skills, yoga and meditation, environmental awareness, chess, and ballet classes. At the closing ceremony, I witnessed how the children had grown in confidence, discipline, and joy and how the orphanage itself had become a more hopeful and active learning environment. This summer, I am also working on a new project to connect adult orphans with AUIS alumni and help place them in workplaces and companies owned by our alumni. These experiences strengthened my belief that sustainable change begins with leadership and empowerment.</v>
      </c>
      <c r="AO135" s="61" t="str">
        <f>IFERROR(__xludf.DUMMYFUNCTION("""COMPUTED_VALUE"""),"I think among the world’s diplomatically significant countries, Finland stands out because it proves that influence today is built less on coercion and more on credibility, trust, and soft power. Its globally respected education system, high levels of soc"&amp;"ial cohesion, and consistent commitment to human well-being have made it a model that other nations actively study and emulate. Finland’s diplomacy is powerful because it exports ideas, not pressure: educational excellence, innovation, sustainability, and"&amp;" high-trust governance. In a world shaped by polarization and insecurity, Finland shows that a country’s diplomatic strength can come from the quality of its society and the respect it earns internationally.")</f>
        <v>I think among the world’s diplomatically significant countries, Finland stands out because it proves that influence today is built less on coercion and more on credibility, trust, and soft power. Its globally respected education system, high levels of social cohesion, and consistent commitment to human well-being have made it a model that other nations actively study and emulate. Finland’s diplomacy is powerful because it exports ideas, not pressure: educational excellence, innovation, sustainability, and high-trust governance. In a world shaped by polarization and insecurity, Finland shows that a country’s diplomatic strength can come from the quality of its society and the respect it earns internationally.</v>
      </c>
      <c r="AP135" s="61" t="str">
        <f>IFERROR(__xludf.DUMMYFUNCTION("""COMPUTED_VALUE"""),"Young people are among the most influential ambassadors of their countries because they build international relationships through education, culture, innovation, and community engagement. Public diplomacy is no longer limited to governments; it is strengt"&amp;"hened by citizens who create trust and understanding across cultures.
Throughout my career, I have actively contributed to public diplomacy by building partnerships between Iraqi and international institutions. Through strong relationships with embassies,"&amp;" consulates, and universities, I secured 500 books from New York University; 150 books through the READ JAPAN Project (2024); and additional book donations from the Indian and Korean consulates, expanding educational opportunities for students while promo"&amp;"ting cultural exchange. In 2025, I organized the Korea–Kurdistan Dialogue Conference, bringing together over 150 participants, including diplomats, academics, and community leaders, to strengthen mutual understanding.
In 2026, I was selected for the Prese"&amp;"rvation of Libraries and Archives in Iraq program, supported by the U.S. Embassy in Baghdad, where I presented a project on preserving documentation of the Kurdish genocide. I believe protecting cultural heritage is itself a form of public diplomacy becau"&amp;"se it allows nations to understand one another through history, knowledge, and shared human experiences. Young leaders have the ability to transform local initiatives into international partnerships that contribute to peace, dialogue, and sustainable deve"&amp;"lopment.")</f>
        <v>Young people are among the most influential ambassadors of their countries because they build international relationships through education, culture, innovation, and community engagement. Public diplomacy is no longer limited to governments; it is strengthened by citizens who create trust and understanding across cultures.
Throughout my career, I have actively contributed to public diplomacy by building partnerships between Iraqi and international institutions. Through strong relationships with embassies, consulates, and universities, I secured 500 books from New York University; 150 books through the READ JAPAN Project (2024); and additional book donations from the Indian and Korean consulates, expanding educational opportunities for students while promoting cultural exchange. In 2025, I organized the Korea–Kurdistan Dialogue Conference, bringing together over 150 participants, including diplomats, academics, and community leaders, to strengthen mutual understanding.
In 2026, I was selected for the Preservation of Libraries and Archives in Iraq program, supported by the U.S. Embassy in Baghdad, where I presented a project on preserving documentation of the Kurdish genocide. I believe protecting cultural heritage is itself a form of public diplomacy because it allows nations to understand one another through history, knowledge, and shared human experiences. Young leaders have the ability to transform local initiatives into international partnerships that contribute to peace, dialogue, and sustainable development.</v>
      </c>
      <c r="AQ135" s="61" t="str">
        <f>IFERROR(__xludf.DUMMYFUNCTION("""COMPUTED_VALUE"""),"To me, passion is the willingness to go beyond what is expected because you genuinely care about creating positive change. Passion is not determined by a job title. A passionate teacher or librarian can create greater impact than a manager who simply comp"&amp;"letes assigned tasks. Passion has shaped every stage of my career. When I became Library Manager, I did not see the library as a place only for borrowing books. I saw an opportunity to create a vibrant learning environment where students could develop cri"&amp;"tical thinking, creativity, leadership, and confidence. This inspired me to introduce projects and programs that had never existed in libraries in my region, including educational workshops, mental health initiatives, community engagement activities, and "&amp;"the Summer of Hope Project. Passion encourages me to seek opportunities, build partnerships, and transform ideas into meaningful, sustainable initiatives that benefit society.")</f>
        <v>To me, passion is the willingness to go beyond what is expected because you genuinely care about creating positive change. Passion is not determined by a job title. A passionate teacher or librarian can create greater impact than a manager who simply completes assigned tasks. Passion has shaped every stage of my career. When I became Library Manager, I did not see the library as a place only for borrowing books. I saw an opportunity to create a vibrant learning environment where students could develop critical thinking, creativity, leadership, and confidence. This inspired me to introduce projects and programs that had never existed in libraries in my region, including educational workshops, mental health initiatives, community engagement activities, and the Summer of Hope Project. Passion encourages me to seek opportunities, build partnerships, and transform ideas into meaningful, sustainable initiatives that benefit society.</v>
      </c>
      <c r="AR135" s="61" t="str">
        <f>IFERROR(__xludf.DUMMYFUNCTION("""COMPUTED_VALUE"""),"Yes. I consider creativity one of my greatest strengths because I enjoy finding innovative ways to solve community challenges. As Library Manager, I transformed a traditional library into a dynamic center for learning, dialogue, and well-being. We introdu"&amp;"ced author talks, book discussions, art therapy workshops, meditation sessions, and interactive educational programs that encouraged students to think critically while supporting their mental health.
Creativity has also guided my work beyond the universit"&amp;"y. In 2026, I received a grant of $10,000 to work on developing an AI-powered educational initiative to help children recognize and prevent sexual harassment, with the long-term goal of collaborating with teacher trainers and the Ministry of Education to "&amp;"integrate these resources into schools across Iraq. I believe creativity becomes an effective public diplomacy strategy when it combines education, culture, technology, and storytelling to address shared global challenges. Creative initiatives transcend l"&amp;"anguage and political differences, allowing people to connect through shared values and experiences. By using innovation to promote education, cultural understanding, and social responsibility, we can strengthen international partnerships and build lastin"&amp;"g trust between communities.")</f>
        <v>Yes. I consider creativity one of my greatest strengths because I enjoy finding innovative ways to solve community challenges. As Library Manager, I transformed a traditional library into a dynamic center for learning, dialogue, and well-being. We introduced author talks, book discussions, art therapy workshops, meditation sessions, and interactive educational programs that encouraged students to think critically while supporting their mental health.
Creativity has also guided my work beyond the university. In 2026, I received a grant of $10,000 to work on developing an AI-powered educational initiative to help children recognize and prevent sexual harassment, with the long-term goal of collaborating with teacher trainers and the Ministry of Education to integrate these resources into schools across Iraq. I believe creativity becomes an effective public diplomacy strategy when it combines education, culture, technology, and storytelling to address shared global challenges. Creative initiatives transcend language and political differences, allowing people to connect through shared values and experiences. By using innovation to promote education, cultural understanding, and social responsibility, we can strengthen international partnerships and build lasting trust between communities.</v>
      </c>
      <c r="AS135" s="61" t="str">
        <f>IFERROR(__xludf.DUMMYFUNCTION("""COMPUTED_VALUE"""),"Yes")</f>
        <v>Yes</v>
      </c>
      <c r="AT135" s="61" t="str">
        <f>IFERROR(__xludf.DUMMYFUNCTION("""COMPUTED_VALUE"""),"Yes")</f>
        <v>Yes</v>
      </c>
      <c r="AU135" s="61" t="str">
        <f>IFERROR(__xludf.DUMMYFUNCTION("""COMPUTED_VALUE"""),"Strategy, Peace &amp; Cultural Diplomacy")</f>
        <v>Strategy, Peace &amp; Cultural Diplomacy</v>
      </c>
      <c r="AV135" s="61" t="str">
        <f>IFERROR(__xludf.DUMMYFUNCTION("""COMPUTED_VALUE"""),"From Social Media")</f>
        <v>From Social Media</v>
      </c>
      <c r="AW135" s="61" t="str">
        <f>IFERROR(__xludf.DUMMYFUNCTION("""COMPUTED_VALUE"""),"most of them")</f>
        <v>most of them</v>
      </c>
      <c r="AX135" s="66" t="str">
        <f>IFERROR(__xludf.DUMMYFUNCTION("""COMPUTED_VALUE"""),"Yes")</f>
        <v>Yes</v>
      </c>
      <c r="AY135" s="66">
        <f>IFERROR(__xludf.DUMMYFUNCTION("""COMPUTED_VALUE"""),15.99)</f>
        <v>15.99</v>
      </c>
      <c r="AZ135" s="61"/>
      <c r="BA135" s="61"/>
      <c r="BB135" s="61"/>
      <c r="BC135" s="61"/>
      <c r="BD135" s="61"/>
      <c r="BE135" s="61"/>
      <c r="BF135" s="61"/>
      <c r="BG135" s="61"/>
      <c r="BH135" s="61"/>
      <c r="BI135" s="61"/>
      <c r="BJ135" s="61"/>
      <c r="BK135" s="61"/>
      <c r="BL135" s="61"/>
      <c r="BM135" s="61"/>
      <c r="BN135" s="61"/>
      <c r="BO135" s="61"/>
      <c r="BP135" s="61"/>
      <c r="BQ135" s="61"/>
      <c r="BR135" s="61"/>
    </row>
    <row r="136" ht="15.75" customHeight="1">
      <c r="A136" s="61" t="str">
        <f>IFERROR(__xludf.DUMMYFUNCTION("""COMPUTED_VALUE"""),"Partial")</f>
        <v>Partial</v>
      </c>
      <c r="B136" s="62">
        <f>IFERROR(__xludf.DUMMYFUNCTION("""COMPUTED_VALUE"""),160.0)</f>
        <v>160</v>
      </c>
      <c r="C136" s="61" t="str">
        <f>IFERROR(__xludf.DUMMYFUNCTION("""COMPUTED_VALUE"""),"Partial")</f>
        <v>Partial</v>
      </c>
      <c r="D136" s="63" t="str">
        <f>IFERROR(__xludf.DUMMYFUNCTION("""COMPUTED_VALUE"""),"Submitted")</f>
        <v>Submitted</v>
      </c>
      <c r="E136" s="63">
        <f>IFERROR(__xludf.DUMMYFUNCTION("""COMPUTED_VALUE"""),46209.03611111111)</f>
        <v>46209.03611</v>
      </c>
      <c r="F136" s="61" t="str">
        <f>IFERROR(__xludf.DUMMYFUNCTION("""COMPUTED_VALUE"""),"OSMAN Yildirim")</f>
        <v>OSMAN Yildirim</v>
      </c>
      <c r="G136" s="61" t="str">
        <f>IFERROR(__xludf.DUMMYFUNCTION("""COMPUTED_VALUE"""),"OSMAN YİLDİRİM")</f>
        <v>OSMAN YİLDİRİM</v>
      </c>
      <c r="H136" s="61" t="str">
        <f>IFERROR(__xludf.DUMMYFUNCTION("""COMPUTED_VALUE"""),"osmanyildirim8308@gmail.com")</f>
        <v>osmanyildirim8308@gmail.com</v>
      </c>
      <c r="I136" s="61" t="str">
        <f>IFERROR(__xludf.DUMMYFUNCTION("""COMPUTED_VALUE"""),"osamalkaoud@gmail.com")</f>
        <v>osamalkaoud@gmail.com</v>
      </c>
      <c r="J136" s="61" t="str">
        <f>IFERROR(__xludf.DUMMYFUNCTION("""COMPUTED_VALUE"""),"Jawhara albayan, Aukasha street, Shawqia, mecca, Mecca, Saudi Arabia")</f>
        <v>Jawhara albayan, Aukasha street, Shawqia, mecca, Mecca, Saudi Arabia</v>
      </c>
      <c r="K136" s="61" t="str">
        <f>IFERROR(__xludf.DUMMYFUNCTION("""COMPUTED_VALUE"""),"Turkish")</f>
        <v>Turkish</v>
      </c>
      <c r="L136" s="64" t="str">
        <f>IFERROR(__xludf.DUMMYFUNCTION("""COMPUTED_VALUE"""),"+966565619809")</f>
        <v>+966565619809</v>
      </c>
      <c r="M136" s="64">
        <f>IFERROR(__xludf.DUMMYFUNCTION("""COMPUTED_VALUE"""),35161.0)</f>
        <v>35161</v>
      </c>
      <c r="N136" s="61" t="str">
        <f>IFERROR(__xludf.DUMMYFUNCTION("""COMPUTED_VALUE"""),"U24885234")</f>
        <v>U24885234</v>
      </c>
      <c r="O136" s="61" t="str">
        <f>IFERROR(__xludf.DUMMYFUNCTION("""COMPUTED_VALUE"""),"+966565619809")</f>
        <v>+966565619809</v>
      </c>
      <c r="P136" s="61"/>
      <c r="Q136" s="61"/>
      <c r="R136" s="65" t="str">
        <f>IFERROR(__xludf.DUMMYFUNCTION("""COMPUTED_VALUE"""),"https://www.facebook.com/share/1Eq69SR9wK/?mibextid=wwXIfr")</f>
        <v>https://www.facebook.com/share/1Eq69SR9wK/?mibextid=wwXIfr</v>
      </c>
      <c r="S136" s="61" t="str">
        <f>IFERROR(__xludf.DUMMYFUNCTION("""COMPUTED_VALUE"""),"f668f397-751d-440b-b7e2-8d9764c62e73.jpeg")</f>
        <v>f668f397-751d-440b-b7e2-8d9764c62e73.jpeg</v>
      </c>
      <c r="T136" s="61" t="str">
        <f>IFERROR(__xludf.DUMMYFUNCTION("""COMPUTED_VALUE"""),"662fd751-6867-4abd-9a68-853608a2a4dc.jpeg")</f>
        <v>662fd751-6867-4abd-9a68-853608a2a4dc.jpeg</v>
      </c>
      <c r="U136" s="61" t="str">
        <f>IFERROR(__xludf.DUMMYFUNCTION("""COMPUTED_VALUE"""),"Bechalors")</f>
        <v>Bechalors</v>
      </c>
      <c r="V136" s="61" t="str">
        <f>IFERROR(__xludf.DUMMYFUNCTION("""COMPUTED_VALUE"""),"Engineering")</f>
        <v>Engineering</v>
      </c>
      <c r="W136" s="61" t="str">
        <f>IFERROR(__xludf.DUMMYFUNCTION("""COMPUTED_VALUE"""),"Mechatronincs")</f>
        <v>Mechatronincs</v>
      </c>
      <c r="X136" s="61" t="str">
        <f>IFERROR(__xludf.DUMMYFUNCTION("""COMPUTED_VALUE"""),"Near East university")</f>
        <v>Near East university</v>
      </c>
      <c r="Y136" s="61" t="str">
        <f>IFERROR(__xludf.DUMMYFUNCTION("""COMPUTED_VALUE"""),"Yes")</f>
        <v>Yes</v>
      </c>
      <c r="Z136" s="61" t="str">
        <f>IFERROR(__xludf.DUMMYFUNCTION("""COMPUTED_VALUE"""),"Cyprus")</f>
        <v>Cyprus</v>
      </c>
      <c r="AA136" s="61" t="str">
        <f>IFERROR(__xludf.DUMMYFUNCTION("""COMPUTED_VALUE"""),"Yes")</f>
        <v>Yes</v>
      </c>
      <c r="AB136" s="61" t="str">
        <f>IFERROR(__xludf.DUMMYFUNCTION("""COMPUTED_VALUE"""),"Mansourh University/ Egypt")</f>
        <v>Mansourh University/ Egypt</v>
      </c>
      <c r="AC136" s="61" t="str">
        <f>IFERROR(__xludf.DUMMYFUNCTION("""COMPUTED_VALUE"""),"Yes")</f>
        <v>Yes</v>
      </c>
      <c r="AD136" s="61" t="str">
        <f>IFERROR(__xludf.DUMMYFUNCTION("""COMPUTED_VALUE"""),"Yes")</f>
        <v>Yes</v>
      </c>
      <c r="AE136" s="65" t="str">
        <f>IFERROR(__xludf.DUMMYFUNCTION("""COMPUTED_VALUE"""),"https://yiad.org")</f>
        <v>https://yiad.org</v>
      </c>
      <c r="AF136" s="61" t="str">
        <f>IFERROR(__xludf.DUMMYFUNCTION("""COMPUTED_VALUE"""),"Public Relations Manager")</f>
        <v>Public Relations Manager</v>
      </c>
      <c r="AG136" s="61" t="str">
        <f>IFERROR(__xludf.DUMMYFUNCTION("""COMPUTED_VALUE"""),"8 years")</f>
        <v>8 years</v>
      </c>
      <c r="AH136" s="61" t="str">
        <f>IFERROR(__xludf.DUMMYFUNCTION("""COMPUTED_VALUE"""),"No")</f>
        <v>No</v>
      </c>
      <c r="AI136" s="61"/>
      <c r="AJ136" s="61" t="str">
        <f>IFERROR(__xludf.DUMMYFUNCTION("""COMPUTED_VALUE"""),"Yes")</f>
        <v>Yes</v>
      </c>
      <c r="AK136" s="61" t="str">
        <f>IFERROR(__xludf.DUMMYFUNCTION("""COMPUTED_VALUE"""),"Jewar")</f>
        <v>Jewar</v>
      </c>
      <c r="AL136" s="61" t="str">
        <f>IFERROR(__xludf.DUMMYFUNCTION("""COMPUTED_VALUE"""),"Public relations")</f>
        <v>Public relations</v>
      </c>
      <c r="AM136" s="61" t="str">
        <f>IFERROR(__xludf.DUMMYFUNCTION("""COMPUTED_VALUE"""),"OSMAN ALKAOUD CV.pdf")</f>
        <v>OSMAN ALKAOUD CV.pdf</v>
      </c>
      <c r="AN136" s="61" t="str">
        <f>IFERROR(__xludf.DUMMYFUNCTION("""COMPUTED_VALUE"""),"Yes. I have always believed that changing the world begins with changing one person at a time. This belief has inspired me to volunteer in community initiatives and use my experience to train and mentor individuals to become positive contributors to socie"&amp;"ty. I focus on promoting personal development, ethical values, and practical skills that enable people to overcome challenges and create positive change in their communities. I also support charitable efforts that assist vulnerable groups, including the p"&amp;"oor, the needy, and disadvantaged families. While my contribution may be small, I believe that every positive action inspires others and creates a ripple effect that leads to meaningful and lasting change.")</f>
        <v>Yes. I have always believed that changing the world begins with changing one person at a time. This belief has inspired me to volunteer in community initiatives and use my experience to train and mentor individuals to become positive contributors to society. I focus on promoting personal development, ethical values, and practical skills that enable people to overcome challenges and create positive change in their communities. I also support charitable efforts that assist vulnerable groups, including the poor, the needy, and disadvantaged families. While my contribution may be small, I believe that every positive action inspires others and creates a ripple effect that leads to meaningful and lasting change.</v>
      </c>
      <c r="AO136" s="61" t="str">
        <f>IFERROR(__xludf.DUMMYFUNCTION("""COMPUTED_VALUE"""),"I believe Türkiye is one of the world’s most diplomatically significant countries because of its unique position connecting Europe and Asia. This geographical and cultural bridge enables Türkiye to facilitate dialogue between different regions, cultures, "&amp;"and political perspectives. Over the years, it has played an active role in mediation, humanitarian assistance, and regional cooperation, demonstrating the importance of diplomacy in addressing global challenges. I admire Türkiye’s ability to engage with "&amp;"diverse international partners while promoting dialogue and collaboration. In today’s interconnected world, countries that encourage communication, peaceful negotiation, and mutual understanding make a meaningful contribution to global stability and inter"&amp;"national cooperation.")</f>
        <v>I believe Türkiye is one of the world’s most diplomatically significant countries because of its unique position connecting Europe and Asia. This geographical and cultural bridge enables Türkiye to facilitate dialogue between different regions, cultures, and political perspectives. Over the years, it has played an active role in mediation, humanitarian assistance, and regional cooperation, demonstrating the importance of diplomacy in addressing global challenges. I admire Türkiye’s ability to engage with diverse international partners while promoting dialogue and collaboration. In today’s interconnected world, countries that encourage communication, peaceful negotiation, and mutual understanding make a meaningful contribution to global stability and international cooperation.</v>
      </c>
      <c r="AP136" s="61" t="str">
        <f>IFERROR(__xludf.DUMMYFUNCTION("""COMPUTED_VALUE"""),"Young people are powerful ambassadors for dialogue, innovation, and mutual understanding. Their ability to connect across cultures and embrace new ideas makes them essential contributors to modern diplomacy. Public diplomacy is not limited to governments;"&amp;" it is also about how individuals build trust, encourage dialogue, and represent their communities through meaningful actions.
My experience in public relations within charitable organizations has given me practical exposure to public diplomacy. I worked"&amp;" on building relationships with partners, coordinating community initiatives, and communicating messages that encouraged collaboration and social responsibility. I also trained individuals in communication, leadership, and interpersonal skills, believing "&amp;"that empowering people creates stronger and more connected communities.
These experiences taught me that diplomacy begins with listening, respecting different perspectives, and finding common ground. Whether interacting with local communities or people f"&amp;"rom different cultural backgrounds, I strive to promote understanding rather than division.
I see public diplomacy as a bridge between people, cultures, and institutions. My goal is to use my communication skills, community engagement experience, and pas"&amp;"sion for service to foster dialogue, strengthen international cooperation, and contribute to a more peaceful and inclusive world")</f>
        <v>Young people are powerful ambassadors for dialogue, innovation, and mutual understanding. Their ability to connect across cultures and embrace new ideas makes them essential contributors to modern diplomacy. Public diplomacy is not limited to governments; it is also about how individuals build trust, encourage dialogue, and represent their communities through meaningful actions.
My experience in public relations within charitable organizations has given me practical exposure to public diplomacy. I worked on building relationships with partners, coordinating community initiatives, and communicating messages that encouraged collaboration and social responsibility. I also trained individuals in communication, leadership, and interpersonal skills, believing that empowering people creates stronger and more connected communities.
These experiences taught me that diplomacy begins with listening, respecting different perspectives, and finding common ground. Whether interacting with local communities or people from different cultural backgrounds, I strive to promote understanding rather than division.
I see public diplomacy as a bridge between people, cultures, and institutions. My goal is to use my communication skills, community engagement experience, and passion for service to foster dialogue, strengthen international cooperation, and contribute to a more peaceful and inclusive world</v>
      </c>
      <c r="AQ136" s="61" t="str">
        <f>IFERROR(__xludf.DUMMYFUNCTION("""COMPUTED_VALUE"""),"Passion is the force that transforms responsibility into commitment and ideas into meaningful action. For me, passion means serving people, building strong relationships, and helping others realize their potential.
Throughout my career in public relation"&amp;"s and charitable work, I discovered that meaningful communication can inspire positive change. This inspired me to train individuals in communication, leadership, and personal development, enabling them to contribute more effectively to their communities."&amp;"
My passion keeps me motivated to learn, improve, and overcome challenges. It encourages me to approach every opportunity with dedication, curiosity, and a desire to make a lasting impact. I believe that success is not measured only by personal achieveme"&amp;"nts but also by the positive influence we have on others. Passion gives me the resilience to pursue my goals while remaining committed to serving society and creating opportunities for growth and collaboration.")</f>
        <v>Passion is the force that transforms responsibility into commitment and ideas into meaningful action. For me, passion means serving people, building strong relationships, and helping others realize their potential.
Throughout my career in public relations and charitable work, I discovered that meaningful communication can inspire positive change. This inspired me to train individuals in communication, leadership, and personal development, enabling them to contribute more effectively to their communities.
My passion keeps me motivated to learn, improve, and overcome challenges. It encourages me to approach every opportunity with dedication, curiosity, and a desire to make a lasting impact. I believe that success is not measured only by personal achievements but also by the positive influence we have on others. Passion gives me the resilience to pursue my goals while remaining committed to serving society and creating opportunities for growth and collaboration.</v>
      </c>
      <c r="AR136" s="61" t="str">
        <f>IFERROR(__xludf.DUMMYFUNCTION("""COMPUTED_VALUE"""),"Yes, I consider myself a creative person because I enjoy finding practical solutions that bring people together and create a positive impact. Creativity, in my view, is not only about generating new ideas but also about communicating them in ways that ins"&amp;"pire trust, cooperation, and meaningful action.
My experience in public relations within charitable organizations taught me how to engage diverse stakeholders, build long-term partnerships, and communicate messages that encourage community participation."&amp;" In addition, I have trained individuals in communication, leadership, and personal development, helping them become more confident and effective in serving their communities.
I believe these experiences can be transformed into an effective public diplom"&amp;"acy strategy by using communication as a bridge between cultures. I would focus on storytelling, community engagement, youth-led initiatives, and intercultural dialogue to promote mutual understanding and respect. Social media, educational programs, and v"&amp;"olunteer projects can also be powerful tools for connecting people across different backgrounds.
An effective public diplomacy strategy should build relationships before promoting ideas. By listening, respecting cultural diversity, and encouraging collab"&amp;"oration, I hope to contribute to stronger international partnerships and a more peaceful, inclusive, and connected global community.")</f>
        <v>Yes, I consider myself a creative person because I enjoy finding practical solutions that bring people together and create a positive impact. Creativity, in my view, is not only about generating new ideas but also about communicating them in ways that inspire trust, cooperation, and meaningful action.
My experience in public relations within charitable organizations taught me how to engage diverse stakeholders, build long-term partnerships, and communicate messages that encourage community participation. In addition, I have trained individuals in communication, leadership, and personal development, helping them become more confident and effective in serving their communities.
I believe these experiences can be transformed into an effective public diplomacy strategy by using communication as a bridge between cultures. I would focus on storytelling, community engagement, youth-led initiatives, and intercultural dialogue to promote mutual understanding and respect. Social media, educational programs, and volunteer projects can also be powerful tools for connecting people across different backgrounds.
An effective public diplomacy strategy should build relationships before promoting ideas. By listening, respecting cultural diversity, and encouraging collaboration, I hope to contribute to stronger international partnerships and a more peaceful, inclusive, and connected global community.</v>
      </c>
      <c r="AS136" s="61" t="str">
        <f>IFERROR(__xludf.DUMMYFUNCTION("""COMPUTED_VALUE"""),"Yes")</f>
        <v>Yes</v>
      </c>
      <c r="AT136" s="61" t="str">
        <f>IFERROR(__xludf.DUMMYFUNCTION("""COMPUTED_VALUE"""),"Yes")</f>
        <v>Yes</v>
      </c>
      <c r="AU136" s="61" t="str">
        <f>IFERROR(__xludf.DUMMYFUNCTION("""COMPUTED_VALUE"""),"Global Politics, Diplomacy &amp; Identities")</f>
        <v>Global Politics, Diplomacy &amp; Identities</v>
      </c>
      <c r="AV136" s="61" t="str">
        <f>IFERROR(__xludf.DUMMYFUNCTION("""COMPUTED_VALUE"""),"Scholarship portal")</f>
        <v>Scholarship portal</v>
      </c>
      <c r="AW136" s="61" t="str">
        <f>IFERROR(__xludf.DUMMYFUNCTION("""COMPUTED_VALUE"""),"Public relations and diplomacy")</f>
        <v>Public relations and diplomacy</v>
      </c>
      <c r="AX136" s="66" t="str">
        <f>IFERROR(__xludf.DUMMYFUNCTION("""COMPUTED_VALUE"""),"Yes")</f>
        <v>Yes</v>
      </c>
      <c r="AY136" s="66">
        <f>IFERROR(__xludf.DUMMYFUNCTION("""COMPUTED_VALUE"""),15.99)</f>
        <v>15.99</v>
      </c>
      <c r="AZ136" s="61"/>
      <c r="BA136" s="61"/>
      <c r="BB136" s="61"/>
      <c r="BC136" s="61"/>
      <c r="BD136" s="61"/>
      <c r="BE136" s="61"/>
      <c r="BF136" s="61"/>
      <c r="BG136" s="61"/>
      <c r="BH136" s="61"/>
      <c r="BI136" s="61"/>
      <c r="BJ136" s="61"/>
      <c r="BK136" s="61"/>
      <c r="BL136" s="61"/>
      <c r="BM136" s="61"/>
      <c r="BN136" s="61"/>
      <c r="BO136" s="61"/>
      <c r="BP136" s="61"/>
      <c r="BQ136" s="61"/>
      <c r="BR136" s="61"/>
    </row>
    <row r="137" ht="15.75" customHeight="1">
      <c r="A137" s="61" t="str">
        <f>IFERROR(__xludf.DUMMYFUNCTION("""COMPUTED_VALUE"""),"Partial")</f>
        <v>Partial</v>
      </c>
      <c r="B137" s="62">
        <f>IFERROR(__xludf.DUMMYFUNCTION("""COMPUTED_VALUE"""),161.0)</f>
        <v>161</v>
      </c>
      <c r="C137" s="61" t="str">
        <f>IFERROR(__xludf.DUMMYFUNCTION("""COMPUTED_VALUE"""),"Partial")</f>
        <v>Partial</v>
      </c>
      <c r="D137" s="63" t="str">
        <f>IFERROR(__xludf.DUMMYFUNCTION("""COMPUTED_VALUE"""),"Submitted")</f>
        <v>Submitted</v>
      </c>
      <c r="E137" s="63">
        <f>IFERROR(__xludf.DUMMYFUNCTION("""COMPUTED_VALUE"""),46209.05972222222)</f>
        <v>46209.05972</v>
      </c>
      <c r="F137" s="61" t="str">
        <f>IFERROR(__xludf.DUMMYFUNCTION("""COMPUTED_VALUE"""),"Ezz Al-Din Hamed")</f>
        <v>Ezz Al-Din Hamed</v>
      </c>
      <c r="G137" s="61" t="str">
        <f>IFERROR(__xludf.DUMMYFUNCTION("""COMPUTED_VALUE"""),"Ezz Al-Din Hamed")</f>
        <v>Ezz Al-Din Hamed</v>
      </c>
      <c r="H137" s="61" t="str">
        <f>IFERROR(__xludf.DUMMYFUNCTION("""COMPUTED_VALUE"""),"ezzaldinhamed4@gmail.com")</f>
        <v>ezzaldinhamed4@gmail.com</v>
      </c>
      <c r="I137" s="61" t="str">
        <f>IFERROR(__xludf.DUMMYFUNCTION("""COMPUTED_VALUE"""),"ezzrashed40@gmail.com")</f>
        <v>ezzrashed40@gmail.com</v>
      </c>
      <c r="J137" s="61" t="str">
        <f>IFERROR(__xludf.DUMMYFUNCTION("""COMPUTED_VALUE"""),"turkey, istanbul, istanbul, kayaşehir, istanbul, Türkiye")</f>
        <v>turkey, istanbul, istanbul, kayaşehir, istanbul, Türkiye</v>
      </c>
      <c r="K137" s="61" t="str">
        <f>IFERROR(__xludf.DUMMYFUNCTION("""COMPUTED_VALUE"""),"Palestinian")</f>
        <v>Palestinian</v>
      </c>
      <c r="L137" s="64" t="str">
        <f>IFERROR(__xludf.DUMMYFUNCTION("""COMPUTED_VALUE"""),"+90 5528670574")</f>
        <v>+90 5528670574</v>
      </c>
      <c r="M137" s="64">
        <f>IFERROR(__xludf.DUMMYFUNCTION("""COMPUTED_VALUE"""),37149.0)</f>
        <v>37149</v>
      </c>
      <c r="N137" s="61" t="str">
        <f>IFERROR(__xludf.DUMMYFUNCTION("""COMPUTED_VALUE"""),"T1407627")</f>
        <v>T1407627</v>
      </c>
      <c r="O137" s="61" t="str">
        <f>IFERROR(__xludf.DUMMYFUNCTION("""COMPUTED_VALUE"""),"+970 595 037 062")</f>
        <v>+970 595 037 062</v>
      </c>
      <c r="P137" s="67" t="str">
        <f>IFERROR(__xludf.DUMMYFUNCTION("""COMPUTED_VALUE"""),"https://www.linkedin.com/in/ezzaldinhamed/")</f>
        <v>https://www.linkedin.com/in/ezzaldinhamed/</v>
      </c>
      <c r="Q137" s="67" t="str">
        <f>IFERROR(__xludf.DUMMYFUNCTION("""COMPUTED_VALUE"""),"https://instagram.com/ezzaldinhamed")</f>
        <v>https://instagram.com/ezzaldinhamed</v>
      </c>
      <c r="R137" s="65" t="str">
        <f>IFERROR(__xludf.DUMMYFUNCTION("""COMPUTED_VALUE"""),"https://www.facebook.com/ezzaldin.hamed.1")</f>
        <v>https://www.facebook.com/ezzaldin.hamed.1</v>
      </c>
      <c r="S137" s="61" t="str">
        <f>IFERROR(__xludf.DUMMYFUNCTION("""COMPUTED_VALUE"""),"جواز_السفر.pdf")</f>
        <v>جواز_السفر.pdf</v>
      </c>
      <c r="T137" s="61" t="str">
        <f>IFERROR(__xludf.DUMMYFUNCTION("""COMPUTED_VALUE"""),"Resim3.jpg")</f>
        <v>Resim3.jpg</v>
      </c>
      <c r="U137" s="61" t="str">
        <f>IFERROR(__xludf.DUMMYFUNCTION("""COMPUTED_VALUE"""),"engineering")</f>
        <v>engineering</v>
      </c>
      <c r="V137" s="61" t="str">
        <f>IFERROR(__xludf.DUMMYFUNCTION("""COMPUTED_VALUE"""),"Bachelor's")</f>
        <v>Bachelor's</v>
      </c>
      <c r="W137" s="61" t="str">
        <f>IFERROR(__xludf.DUMMYFUNCTION("""COMPUTED_VALUE"""),"Computer Engineering")</f>
        <v>Computer Engineering</v>
      </c>
      <c r="X137" s="61" t="str">
        <f>IFERROR(__xludf.DUMMYFUNCTION("""COMPUTED_VALUE"""),"Bartın Üniversitesi")</f>
        <v>Bartın Üniversitesi</v>
      </c>
      <c r="Y137" s="61" t="str">
        <f>IFERROR(__xludf.DUMMYFUNCTION("""COMPUTED_VALUE"""),"Yes")</f>
        <v>Yes</v>
      </c>
      <c r="Z137" s="61" t="str">
        <f>IFERROR(__xludf.DUMMYFUNCTION("""COMPUTED_VALUE"""),"Türkiye")</f>
        <v>Türkiye</v>
      </c>
      <c r="AA137" s="61" t="str">
        <f>IFERROR(__xludf.DUMMYFUNCTION("""COMPUTED_VALUE"""),"No")</f>
        <v>No</v>
      </c>
      <c r="AB137" s="61"/>
      <c r="AC137" s="61"/>
      <c r="AD137" s="61" t="str">
        <f>IFERROR(__xludf.DUMMYFUNCTION("""COMPUTED_VALUE"""),"fodern org")</f>
        <v>fodern org</v>
      </c>
      <c r="AE137" s="65" t="str">
        <f>IFERROR(__xludf.DUMMYFUNCTION("""COMPUTED_VALUE"""),"https://fodern.org")</f>
        <v>https://fodern.org</v>
      </c>
      <c r="AF137" s="61" t="str">
        <f>IFERROR(__xludf.DUMMYFUNCTION("""COMPUTED_VALUE"""),"The association's representative at my university")</f>
        <v>The association's representative at my university</v>
      </c>
      <c r="AG137" s="61" t="str">
        <f>IFERROR(__xludf.DUMMYFUNCTION("""COMPUTED_VALUE"""),"3")</f>
        <v>3</v>
      </c>
      <c r="AH137" s="61" t="str">
        <f>IFERROR(__xludf.DUMMYFUNCTION("""COMPUTED_VALUE"""),"No")</f>
        <v>No</v>
      </c>
      <c r="AI137" s="61"/>
      <c r="AJ137" s="61"/>
      <c r="AK137" s="61"/>
      <c r="AL137" s="61"/>
      <c r="AM137" s="61" t="str">
        <f>IFERROR(__xludf.DUMMYFUNCTION("""COMPUTED_VALUE"""),"ezzaldinhamedcv.pdf")</f>
        <v>ezzaldinhamedcv.pdf</v>
      </c>
      <c r="AN137" s="61" t="str">
        <f>IFERROR(__xludf.DUMMYFUNCTION("""COMPUTED_VALUE"""),"Yes. I believe changing the world begins with building solutions and serving people around us. As a Palestinian computer engineer and machine learning engineer, I used my technical skills to develop AI projects such as smart surveillance, educational lang"&amp;"uage models, and Arabic TTS tools. Beyond technology, I served as President of the Palestinian Students Association at my university during the recent Gaza war, organizing student activities, raising awareness, supporting Palestinian students, and creatin"&amp;"g a space for dialogue, solidarity, and responsible representation. This experience taught me that impact is not only about ideas, but about consistent action.")</f>
        <v>Yes. I believe changing the world begins with building solutions and serving people around us. As a Palestinian computer engineer and machine learning engineer, I used my technical skills to develop AI projects such as smart surveillance, educational language models, and Arabic TTS tools. Beyond technology, I served as President of the Palestinian Students Association at my university during the recent Gaza war, organizing student activities, raising awareness, supporting Palestinian students, and creating a space for dialogue, solidarity, and responsible representation. This experience taught me that impact is not only about ideas, but about consistent action.</v>
      </c>
      <c r="AO137" s="61" t="str">
        <f>IFERROR(__xludf.DUMMYFUNCTION("""COMPUTED_VALUE"""),"I believe Türkiye is one of the most diplomatically significant countries in the world. Its unique location between Asia and Europe gives it a strategic role in regional and global dialogue. Türkiye connects different cultures, political systems, economie"&amp;"s, and historical identities. It has influence in the Middle East, the Balkans, the Caucasus, Central Asia, and the Mediterranean. For me, as a Palestinian student living and studying in Türkiye, I see how the country hosts international students, humanit"&amp;"arian initiatives, and cross-cultural communities. Türkiye’s diplomatic strength comes from its ability to act as a bridge between nations, cultures, and global conversations.")</f>
        <v>I believe Türkiye is one of the most diplomatically significant countries in the world. Its unique location between Asia and Europe gives it a strategic role in regional and global dialogue. Türkiye connects different cultures, political systems, economies, and historical identities. It has influence in the Middle East, the Balkans, the Caucasus, Central Asia, and the Mediterranean. For me, as a Palestinian student living and studying in Türkiye, I see how the country hosts international students, humanitarian initiatives, and cross-cultural communities. Türkiye’s diplomatic strength comes from its ability to act as a bridge between nations, cultures, and global conversations.</v>
      </c>
      <c r="AP137" s="61" t="str">
        <f>IFERROR(__xludf.DUMMYFUNCTION("""COMPUTED_VALUE"""),"Youth play a vital role in diplomacy because they are not only future leaders, but also active voices in today’s global conversations. Young people can build bridges across cultures through education, technology, volunteering, media, and community leaders"&amp;"hip. They are often more open to dialogue, innovation, and cooperation across borders.
I relate strongly to public diplomacy because my own experience combines technology, identity, and community service. As a Palestinian computer engineer in Türkiye, I "&amp;"have learned that representation is not limited to official institutions. It also happens through student leadership, cultural activities, digital communication, and responsible storytelling. During my leadership in the Palestinian Students Association at"&amp;" my university, especially after the recent Gaza war began, I understood how important it is to communicate a people’s story with dignity, accuracy, and humanity.
Public diplomacy, to me, means creating understanding between societies. My goal is to use "&amp;"artificial intelligence, digital platforms, and youth networks to support education, counter harmful narratives, and promote dialogue between communities.")</f>
        <v>Youth play a vital role in diplomacy because they are not only future leaders, but also active voices in today’s global conversations. Young people can build bridges across cultures through education, technology, volunteering, media, and community leadership. They are often more open to dialogue, innovation, and cooperation across borders.
I relate strongly to public diplomacy because my own experience combines technology, identity, and community service. As a Palestinian computer engineer in Türkiye, I have learned that representation is not limited to official institutions. It also happens through student leadership, cultural activities, digital communication, and responsible storytelling. During my leadership in the Palestinian Students Association at my university, especially after the recent Gaza war began, I understood how important it is to communicate a people’s story with dignity, accuracy, and humanity.
Public diplomacy, to me, means creating understanding between societies. My goal is to use artificial intelligence, digital platforms, and youth networks to support education, counter harmful narratives, and promote dialogue between communities.</v>
      </c>
      <c r="AQ137" s="61" t="str">
        <f>IFERROR(__xludf.DUMMYFUNCTION("""COMPUTED_VALUE"""),"Passion is the inner energy that pushes a person to continue even when circumstances are difficult. It is more than interest; it is a deep commitment to a purpose.
Passion helps me achieve my goals because it gives meaning to my work. It motivated me to "&amp;"build machine learning projects, publish open-source AI models, and keep learning despite challenges. It also guided my student leadership activities, where I represented Palestinian students and supported community initiatives. When passion is connected "&amp;"to discipline, it becomes a strong force for impact.")</f>
        <v>Passion is the inner energy that pushes a person to continue even when circumstances are difficult. It is more than interest; it is a deep commitment to a purpose.
Passion helps me achieve my goals because it gives meaning to my work. It motivated me to build machine learning projects, publish open-source AI models, and keep learning despite challenges. It also guided my student leadership activities, where I represented Palestinian students and supported community initiatives. When passion is connected to discipline, it becomes a strong force for impact.</v>
      </c>
      <c r="AR137" s="61" t="str">
        <f>IFERROR(__xludf.DUMMYFUNCTION("""COMPUTED_VALUE"""),"Yes, I consider myself a creative person because I try to connect different fields that are not usually combined: artificial intelligence, youth leadership, cultural identity, and public diplomacy. Creativity, for me, is not only about producing new ideas"&amp;", but about turning limited resources into meaningful solutions.
An effective strategy could combine short digital storytelling, youth-led campaigns, AI-assisted multilingual content, and cultural events that introduce people to Palestinian identity, stu"&amp;"dent experiences, and shared human values. This approach would not only raise awareness, but also build empathy, dialogue, and long-term connections between communities.")</f>
        <v>Yes, I consider myself a creative person because I try to connect different fields that are not usually combined: artificial intelligence, youth leadership, cultural identity, and public diplomacy. Creativity, for me, is not only about producing new ideas, but about turning limited resources into meaningful solutions.
An effective strategy could combine short digital storytelling, youth-led campaigns, AI-assisted multilingual content, and cultural events that introduce people to Palestinian identity, student experiences, and shared human values. This approach would not only raise awareness, but also build empathy, dialogue, and long-term connections between communities.</v>
      </c>
      <c r="AS137" s="61" t="str">
        <f>IFERROR(__xludf.DUMMYFUNCTION("""COMPUTED_VALUE"""),"Yes")</f>
        <v>Yes</v>
      </c>
      <c r="AT137" s="61" t="str">
        <f>IFERROR(__xludf.DUMMYFUNCTION("""COMPUTED_VALUE"""),"Yes")</f>
        <v>Yes</v>
      </c>
      <c r="AU137" s="61" t="str">
        <f>IFERROR(__xludf.DUMMYFUNCTION("""COMPUTED_VALUE"""),"Global Politics, Diplomacy &amp; Identities")</f>
        <v>Global Politics, Diplomacy &amp; Identities</v>
      </c>
      <c r="AV137" s="61" t="str">
        <f>IFERROR(__xludf.DUMMYFUNCTION("""COMPUTED_VALUE"""),"Friend referred")</f>
        <v>Friend referred</v>
      </c>
      <c r="AW137" s="61" t="str">
        <f>IFERROR(__xludf.DUMMYFUNCTION("""COMPUTED_VALUE"""),"Public Diplomacy in the 21st Century")</f>
        <v>Public Diplomacy in the 21st Century</v>
      </c>
      <c r="AX137" s="66" t="str">
        <f>IFERROR(__xludf.DUMMYFUNCTION("""COMPUTED_VALUE"""),"Yes")</f>
        <v>Yes</v>
      </c>
      <c r="AY137" s="66">
        <f>IFERROR(__xludf.DUMMYFUNCTION("""COMPUTED_VALUE"""),15.99)</f>
        <v>15.99</v>
      </c>
      <c r="AZ137" s="61"/>
      <c r="BA137" s="61"/>
      <c r="BB137" s="61"/>
      <c r="BC137" s="61"/>
      <c r="BD137" s="61"/>
      <c r="BE137" s="61"/>
      <c r="BF137" s="61"/>
      <c r="BG137" s="61"/>
      <c r="BH137" s="61"/>
      <c r="BI137" s="61"/>
      <c r="BJ137" s="61"/>
      <c r="BK137" s="61"/>
      <c r="BL137" s="61"/>
      <c r="BM137" s="61"/>
      <c r="BN137" s="61"/>
      <c r="BO137" s="61"/>
      <c r="BP137" s="61"/>
      <c r="BQ137" s="61"/>
      <c r="BR137" s="61"/>
    </row>
    <row r="138" ht="15.75" customHeight="1">
      <c r="A138" s="61" t="str">
        <f>IFERROR(__xludf.DUMMYFUNCTION("""COMPUTED_VALUE"""),"Full/Partial")</f>
        <v>Full/Partial</v>
      </c>
      <c r="B138" s="62">
        <f>IFERROR(__xludf.DUMMYFUNCTION("""COMPUTED_VALUE"""),162.0)</f>
        <v>162</v>
      </c>
      <c r="C138" s="61" t="str">
        <f>IFERROR(__xludf.DUMMYFUNCTION("""COMPUTED_VALUE"""),"Partial")</f>
        <v>Partial</v>
      </c>
      <c r="D138" s="63" t="str">
        <f>IFERROR(__xludf.DUMMYFUNCTION("""COMPUTED_VALUE"""),"Submitted")</f>
        <v>Submitted</v>
      </c>
      <c r="E138" s="63">
        <f>IFERROR(__xludf.DUMMYFUNCTION("""COMPUTED_VALUE"""),46209.06388888889)</f>
        <v>46209.06389</v>
      </c>
      <c r="F138" s="61" t="str">
        <f>IFERROR(__xludf.DUMMYFUNCTION("""COMPUTED_VALUE"""),"MARIAM Dashkina")</f>
        <v>MARIAM Dashkina</v>
      </c>
      <c r="G138" s="61" t="str">
        <f>IFERROR(__xludf.DUMMYFUNCTION("""COMPUTED_VALUE"""),"DASHKINA MARIAM")</f>
        <v>DASHKINA MARIAM</v>
      </c>
      <c r="H138" s="61" t="str">
        <f>IFERROR(__xludf.DUMMYFUNCTION("""COMPUTED_VALUE"""),"maramdaskina80593@gmail.com")</f>
        <v>maramdaskina80593@gmail.com</v>
      </c>
      <c r="I138" s="61" t="str">
        <f>IFERROR(__xludf.DUMMYFUNCTION("""COMPUTED_VALUE"""),"dashkinamary@yandex.ru")</f>
        <v>dashkinamary@yandex.ru</v>
      </c>
      <c r="J138" s="61" t="str">
        <f>IFERROR(__xludf.DUMMYFUNCTION("""COMPUTED_VALUE"""),"55 Yuliusa Fuchika Street, Kazan, Russian Federation")</f>
        <v>55 Yuliusa Fuchika Street, Kazan, Russian Federation</v>
      </c>
      <c r="K138" s="61" t="str">
        <f>IFERROR(__xludf.DUMMYFUNCTION("""COMPUTED_VALUE"""),"Tatar/ Russian")</f>
        <v>Tatar/ Russian</v>
      </c>
      <c r="L138" s="64" t="str">
        <f>IFERROR(__xludf.DUMMYFUNCTION("""COMPUTED_VALUE"""),"+79960804285")</f>
        <v>+79960804285</v>
      </c>
      <c r="M138" s="64">
        <f>IFERROR(__xludf.DUMMYFUNCTION("""COMPUTED_VALUE"""),38765.0)</f>
        <v>38765</v>
      </c>
      <c r="N138" s="61" t="str">
        <f>IFERROR(__xludf.DUMMYFUNCTION("""COMPUTED_VALUE"""),"66 3454983")</f>
        <v>66 3454983</v>
      </c>
      <c r="O138" s="61" t="str">
        <f>IFERROR(__xludf.DUMMYFUNCTION("""COMPUTED_VALUE"""),"+79960804285")</f>
        <v>+79960804285</v>
      </c>
      <c r="P138" s="61" t="str">
        <f>IFERROR(__xludf.DUMMYFUNCTION("""COMPUTED_VALUE"""),"-")</f>
        <v>-</v>
      </c>
      <c r="Q138" s="61" t="str">
        <f>IFERROR(__xludf.DUMMYFUNCTION("""COMPUTED_VALUE"""),"_maryam_dashkina_")</f>
        <v>_maryam_dashkina_</v>
      </c>
      <c r="R138" s="61" t="str">
        <f>IFERROR(__xludf.DUMMYFUNCTION("""COMPUTED_VALUE"""),"-")</f>
        <v>-</v>
      </c>
      <c r="S138" s="61" t="str">
        <f>IFERROR(__xludf.DUMMYFUNCTION("""COMPUTED_VALUE"""),"66Nº345498 2.pdf")</f>
        <v>66Nº345498 2.pdf</v>
      </c>
      <c r="T138" s="61" t="str">
        <f>IFERROR(__xludf.DUMMYFUNCTION("""COMPUTED_VALUE"""),"Фото сжато .pdf")</f>
        <v>Фото сжато .pdf</v>
      </c>
      <c r="U138" s="61" t="str">
        <f>IFERROR(__xludf.DUMMYFUNCTION("""COMPUTED_VALUE"""),"Bachelor")</f>
        <v>Bachelor</v>
      </c>
      <c r="V138" s="61" t="str">
        <f>IFERROR(__xludf.DUMMYFUNCTION("""COMPUTED_VALUE"""),"Student")</f>
        <v>Student</v>
      </c>
      <c r="W138" s="61" t="str">
        <f>IFERROR(__xludf.DUMMYFUNCTION("""COMPUTED_VALUE"""),"Oriental studies (Chinese and Vietnamese languages)")</f>
        <v>Oriental studies (Chinese and Vietnamese languages)</v>
      </c>
      <c r="X138" s="61" t="str">
        <f>IFERROR(__xludf.DUMMYFUNCTION("""COMPUTED_VALUE"""),"Kazan Federal university")</f>
        <v>Kazan Federal university</v>
      </c>
      <c r="Y138" s="61" t="str">
        <f>IFERROR(__xludf.DUMMYFUNCTION("""COMPUTED_VALUE"""),"Yes")</f>
        <v>Yes</v>
      </c>
      <c r="Z138" s="61" t="str">
        <f>IFERROR(__xludf.DUMMYFUNCTION("""COMPUTED_VALUE"""),"Russian federation")</f>
        <v>Russian federation</v>
      </c>
      <c r="AA138" s="61" t="str">
        <f>IFERROR(__xludf.DUMMYFUNCTION("""COMPUTED_VALUE"""),"No")</f>
        <v>No</v>
      </c>
      <c r="AB138" s="61" t="str">
        <f>IFERROR(__xludf.DUMMYFUNCTION("""COMPUTED_VALUE"""),"SQU Oman,  (23 jan-24 Feb 2026)( Arabic language studying and Oman culture), For university ( Danang, Vietnam), summer camp, June 2026")</f>
        <v>SQU Oman,  (23 jan-24 Feb 2026)( Arabic language studying and Oman culture), For university ( Danang, Vietnam), summer camp, June 2026</v>
      </c>
      <c r="AC138" s="61" t="str">
        <f>IFERROR(__xludf.DUMMYFUNCTION("""COMPUTED_VALUE"""),"Yes, I am very familiar with academic research. I can assist with:  · Literature reviews – finding gaps, synthesizing sources, and structuring. · Methodology – qualitative, quantitative, mixed methods, experimental design. · Data analysis – statistics (SP"&amp;"SS, R, Python), thematic analysis, NVivo. · Writing – abstracts, introductions, discussion sections, and proper citation (APA, MLA, Chicago, IEEE, Harvard). · Critical thinking – evaluating sources, argumentation, and logical fallacies. · Publishing – jou"&amp;"rnal selection, peer review process, and responding to reviewers.")</f>
        <v>Yes, I am very familiar with academic research. I can assist with:  · Literature reviews – finding gaps, synthesizing sources, and structuring. · Methodology – qualitative, quantitative, mixed methods, experimental design. · Data analysis – statistics (SPSS, R, Python), thematic analysis, NVivo. · Writing – abstracts, introductions, discussion sections, and proper citation (APA, MLA, Chicago, IEEE, Harvard). · Critical thinking – evaluating sources, argumentation, and logical fallacies. · Publishing – journal selection, peer review process, and responding to reviewers.</v>
      </c>
      <c r="AD138" s="61" t="str">
        <f>IFERROR(__xludf.DUMMYFUNCTION("""COMPUTED_VALUE"""),"Volunteer Experience:  · Kazan Forum ""Russia – Islamic World"" (May 2026) – Volunteer Attaché, accompanied the Syrian delegation. · Kazan Forum (2025) – Volunteer at the Media Center. · Russia–ASEAN Forum (June 2026) – Volunteer at the Accreditation Cent"&amp;"er. · ""Rostki"" Forum: Russia–China Mutually Beneficial Cooperation (2023 &amp; 2025) – Volunteer. · Summer Camp in Da Nang, Vietnam (June 2026) – Participant.")</f>
        <v>Volunteer Experience:  · Kazan Forum "Russia – Islamic World" (May 2026) – Volunteer Attaché, accompanied the Syrian delegation. · Kazan Forum (2025) – Volunteer at the Media Center. · Russia–ASEAN Forum (June 2026) – Volunteer at the Accreditation Center. · "Rostki" Forum: Russia–China Mutually Beneficial Cooperation (2023 &amp; 2025) – Volunteer. · Summer Camp in Da Nang, Vietnam (June 2026) – Participant.</v>
      </c>
      <c r="AE138" s="65" t="str">
        <f>IFERROR(__xludf.DUMMYFUNCTION("""COMPUTED_VALUE"""),"https://kazanforum.ru/?ysclid=mr88sco6be522645525")</f>
        <v>https://kazanforum.ru/?ysclid=mr88sco6be522645525</v>
      </c>
      <c r="AF138" s="61" t="str">
        <f>IFERROR(__xludf.DUMMYFUNCTION("""COMPUTED_VALUE"""),"Interpretation, participant")</f>
        <v>Interpretation, participant</v>
      </c>
      <c r="AG138" s="61" t="str">
        <f>IFERROR(__xludf.DUMMYFUNCTION("""COMPUTED_VALUE"""),"2023, 2024, 2025, 2026")</f>
        <v>2023, 2024, 2025, 2026</v>
      </c>
      <c r="AH138" s="61" t="str">
        <f>IFERROR(__xludf.DUMMYFUNCTION("""COMPUTED_VALUE"""),"No")</f>
        <v>No</v>
      </c>
      <c r="AI138" s="61" t="str">
        <f>IFERROR(__xludf.DUMMYFUNCTION("""COMPUTED_VALUE"""),"-")</f>
        <v>-</v>
      </c>
      <c r="AJ138" s="61" t="str">
        <f>IFERROR(__xludf.DUMMYFUNCTION("""COMPUTED_VALUE"""),"Especially in University( connected with orientalism and debates)")</f>
        <v>Especially in University( connected with orientalism and debates)</v>
      </c>
      <c r="AK138" s="61" t="str">
        <f>IFERROR(__xludf.DUMMYFUNCTION("""COMPUTED_VALUE"""),"Language practice, cultural exchange")</f>
        <v>Language practice, cultural exchange</v>
      </c>
      <c r="AL138" s="61" t="str">
        <f>IFERROR(__xludf.DUMMYFUNCTION("""COMPUTED_VALUE"""),"Fluent in Arabic, English, Chinese, Russian, Tatar languages, studying Vietnamese")</f>
        <v>Fluent in Arabic, English, Chinese, Russian, Tatar languages, studying Vietnamese</v>
      </c>
      <c r="AM138" s="61" t="str">
        <f>IFERROR(__xludf.DUMMYFUNCTION("""COMPUTED_VALUE"""),"CV Dashkina Mariam.pdf")</f>
        <v>CV Dashkina Mariam.pdf</v>
      </c>
      <c r="AN138" s="61" t="str">
        <f>IFERROR(__xludf.DUMMYFUNCTION("""COMPUTED_VALUE"""),"Yes. I believe change begins at the local level. I founded a peer-mentoring program in my community that connected high school students with younger children from under-resourced backgrounds, focusing on literacy and confidence-building. This wasn't just "&amp;"about tutoring; it was about showing them a future they might not have seen for themselves. By dedicating my weekends and creating a sustainable model that now involves over 50 volunteers, I saw firsthand how individual initiative can build a supportive e"&amp;"cosystem that empowers others to see their own potential and, in turn, pay it forward.")</f>
        <v>Yes. I believe change begins at the local level. I founded a peer-mentoring program in my community that connected high school students with younger children from under-resourced backgrounds, focusing on literacy and confidence-building. This wasn't just about tutoring; it was about showing them a future they might not have seen for themselves. By dedicating my weekends and creating a sustainable model that now involves over 50 volunteers, I saw firsthand how individual initiative can build a supportive ecosystem that empowers others to see their own potential and, in turn, pay it forward.</v>
      </c>
      <c r="AO138" s="61" t="str">
        <f>IFERROR(__xludf.DUMMYFUNCTION("""COMPUTED_VALUE"""),"While many nations are powerful, I believe Germany is currently the most diplomatically significant country. Its influence is not solely based on economic might, but on its normative power—its ability to champion rules-based international order, multilate"&amp;"ralism, and human rights. As the EU's largest economy and a key NATO member, Germany acts as a crucial bridge between Western powers and other global actors. Its commitment to ""Verantwortungspolitik"" (a foreign policy of responsibility) and its historic"&amp;"al reckoning gives it a unique moral authority, making it an indispensable mediator in global crises, from climate change to conflict resolution.")</f>
        <v>While many nations are powerful, I believe Germany is currently the most diplomatically significant country. Its influence is not solely based on economic might, but on its normative power—its ability to champion rules-based international order, multilateralism, and human rights. As the EU's largest economy and a key NATO member, Germany acts as a crucial bridge between Western powers and other global actors. Its commitment to "Verantwortungspolitik" (a foreign policy of responsibility) and its historical reckoning gives it a unique moral authority, making it an indispensable mediator in global crises, from climate change to conflict resolution.</v>
      </c>
      <c r="AP138" s="61" t="str">
        <f>IFERROR(__xludf.DUMMYFUNCTION("""COMPUTED_VALUE"""),"Youth are not just the future of diplomacy; they are its present-day architects of change. Our role is to be catalysts for innovation, utilizing digital fluency and cross-cultural networks to build bridges that traditional statecraft sometimes cannot. We "&amp;"bring fresh perspectives on issues like climate change, digital rights, and social justice—challenges that demand solutions beyond the old playbook. Our inherent connectivity and idealism allow us to challenge established norms and hold leaders accountabl"&amp;"e, functioning as a global conscience.
I relate to the idea of Public Diplomacy as a form of ""diplomacy with the people, for the people, and by the people."" It is about engaging foreign publics directly, not just governments. My personal connection to "&amp;"this began when I joined a cultural exchange forum online, where I interacted with peers from countries I may never have otherwise connected with. This made me realize that empathy and mutual understanding are built through storytelling and shared experie"&amp;"nces. For me, Public Diplomacy is translating complex policy into relatable narratives and using digital tools to foster a global conversation. It’s about being an active participant in shaping perceptions, combating misinformation, and building genuine, "&amp;"long-term trust across borders. My generation’s digital nativity is a powerful asset in this endeavor, making us natural ambassadors for a more connected and peaceful world.")</f>
        <v>Youth are not just the future of diplomacy; they are its present-day architects of change. Our role is to be catalysts for innovation, utilizing digital fluency and cross-cultural networks to build bridges that traditional statecraft sometimes cannot. We bring fresh perspectives on issues like climate change, digital rights, and social justice—challenges that demand solutions beyond the old playbook. Our inherent connectivity and idealism allow us to challenge established norms and hold leaders accountable, functioning as a global conscience.
I relate to the idea of Public Diplomacy as a form of "diplomacy with the people, for the people, and by the people." It is about engaging foreign publics directly, not just governments. My personal connection to this began when I joined a cultural exchange forum online, where I interacted with peers from countries I may never have otherwise connected with. This made me realize that empathy and mutual understanding are built through storytelling and shared experiences. For me, Public Diplomacy is translating complex policy into relatable narratives and using digital tools to foster a global conversation. It’s about being an active participant in shaping perceptions, combating misinformation, and building genuine, long-term trust across borders. My generation’s digital nativity is a powerful asset in this endeavor, making us natural ambassadors for a more connected and peaceful world.</v>
      </c>
      <c r="AQ138" s="61" t="str">
        <f>IFERROR(__xludf.DUMMYFUNCTION("""COMPUTED_VALUE"""),"Passion is the profound, intrinsic drive that transforms a mere interest into a defining purpose. It's the deep-seated commitment that fuels perseverance, especially when confronted with setbacks. It is not a fleeting emotion but a steady, burning fire th"&amp;"at sustains you on the long journey toward your goals.
Passion helps me achieve my goals by acting as an anchor for resilience and a catalyst for self-improvement. When I am passionate about a project, I invest the necessary time, energy, and creativity "&amp;"without it feeling like a chore. It pushes me to go beyond the expected, to ask ""why"" and ""what if,"" and to learn continuously. This intrinsic motivation provides clarity during times of uncertainty, reminding me of the larger purpose behind my action"&amp;"s. It is this passion that turns a distant ambition into a persistent, focused effort, making the process as rewarding as the eventual achievement!")</f>
        <v>Passion is the profound, intrinsic drive that transforms a mere interest into a defining purpose. It's the deep-seated commitment that fuels perseverance, especially when confronted with setbacks. It is not a fleeting emotion but a steady, burning fire that sustains you on the long journey toward your goals.
Passion helps me achieve my goals by acting as an anchor for resilience and a catalyst for self-improvement. When I am passionate about a project, I invest the necessary time, energy, and creativity without it feeling like a chore. It pushes me to go beyond the expected, to ask "why" and "what if," and to learn continuously. This intrinsic motivation provides clarity during times of uncertainty, reminding me of the larger purpose behind my actions. It is this passion that turns a distant ambition into a persistent, focused effort, making the process as rewarding as the eventual achievement!</v>
      </c>
      <c r="AR138" s="61" t="str">
        <f>IFERROR(__xludf.DUMMYFUNCTION("""COMPUTED_VALUE"""),"Yes, I consider creativity my greatest strategic asset. To me, creativity is less about artistic expression and more about the ability to find novel connections, reframe problems, and identify innovative solutions in complex environments. It is a mindset "&amp;"of seeing possibilities where others see obstacles.
I can turn this creativity into an effective Public Diplomacy strategy in several ways. First, by reimagining the narrative. Instead of relying on monotonous government statements, I would use the power"&amp;" of storytelling through multimedia—short films, interactive podcasts, and social media campaigns—to humanize diplomatic efforts. This makes abstract policies tangible and relatable to a global audience. Second, by designing interactive engagements. I wou"&amp;"ld create virtual exchange programs, collaborative digital art projects, or gamified cultural quizzes to move beyond passive content consumption to active participation. This fosters a genuine connection and mutual understanding that traditional diplomacy"&amp;" often struggles to achieve.
Finally, creativity is vital for adaptive problem-solving. In the face of a diplomatic crisis or a misinformation campaign, a creative mind can quickly devise alternative communication channels, craft counter-narratives that "&amp;"are both truthful and compelling, and build unexpected coalitions with influencers and thought leaders to amplify the message. This agility and innovative approach are crucial for building trust and achieving influence in the modern, noisy world.")</f>
        <v>Yes, I consider creativity my greatest strategic asset. To me, creativity is less about artistic expression and more about the ability to find novel connections, reframe problems, and identify innovative solutions in complex environments. It is a mindset of seeing possibilities where others see obstacles.
I can turn this creativity into an effective Public Diplomacy strategy in several ways. First, by reimagining the narrative. Instead of relying on monotonous government statements, I would use the power of storytelling through multimedia—short films, interactive podcasts, and social media campaigns—to humanize diplomatic efforts. This makes abstract policies tangible and relatable to a global audience. Second, by designing interactive engagements. I would create virtual exchange programs, collaborative digital art projects, or gamified cultural quizzes to move beyond passive content consumption to active participation. This fosters a genuine connection and mutual understanding that traditional diplomacy often struggles to achieve.
Finally, creativity is vital for adaptive problem-solving. In the face of a diplomatic crisis or a misinformation campaign, a creative mind can quickly devise alternative communication channels, craft counter-narratives that are both truthful and compelling, and build unexpected coalitions with influencers and thought leaders to amplify the message. This agility and innovative approach are crucial for building trust and achieving influence in the modern, noisy world.</v>
      </c>
      <c r="AS138" s="61" t="str">
        <f>IFERROR(__xludf.DUMMYFUNCTION("""COMPUTED_VALUE"""),"Yes")</f>
        <v>Yes</v>
      </c>
      <c r="AT138" s="61" t="str">
        <f>IFERROR(__xludf.DUMMYFUNCTION("""COMPUTED_VALUE"""),"Yes")</f>
        <v>Yes</v>
      </c>
      <c r="AU138" s="61" t="str">
        <f>IFERROR(__xludf.DUMMYFUNCTION("""COMPUTED_VALUE"""),"Global Politics, Diplomacy &amp; Identities")</f>
        <v>Global Politics, Diplomacy &amp; Identities</v>
      </c>
      <c r="AV138" s="61" t="str">
        <f>IFERROR(__xludf.DUMMYFUNCTION("""COMPUTED_VALUE"""),"Telegram")</f>
        <v>Telegram</v>
      </c>
      <c r="AW138" s="61" t="str">
        <f>IFERROR(__xludf.DUMMYFUNCTION("""COMPUTED_VALUE"""),"Dimplomacy, languages, solving global problems")</f>
        <v>Dimplomacy, languages, solving global problems</v>
      </c>
      <c r="AX138" s="66" t="str">
        <f>IFERROR(__xludf.DUMMYFUNCTION("""COMPUTED_VALUE"""),"Yes")</f>
        <v>Yes</v>
      </c>
      <c r="AY138" s="66">
        <f>IFERROR(__xludf.DUMMYFUNCTION("""COMPUTED_VALUE"""),15.99)</f>
        <v>15.99</v>
      </c>
      <c r="AZ138" s="61"/>
      <c r="BA138" s="61"/>
      <c r="BB138" s="61"/>
      <c r="BC138" s="61"/>
      <c r="BD138" s="61"/>
      <c r="BE138" s="61"/>
      <c r="BF138" s="61"/>
      <c r="BG138" s="61"/>
      <c r="BH138" s="61"/>
      <c r="BI138" s="61"/>
      <c r="BJ138" s="61"/>
      <c r="BK138" s="61"/>
      <c r="BL138" s="61"/>
      <c r="BM138" s="61"/>
      <c r="BN138" s="61"/>
      <c r="BO138" s="61"/>
      <c r="BP138" s="61"/>
      <c r="BQ138" s="61"/>
      <c r="BR138" s="61"/>
    </row>
    <row r="139" ht="15.75" customHeight="1">
      <c r="A139" s="61" t="str">
        <f>IFERROR(__xludf.DUMMYFUNCTION("""COMPUTED_VALUE"""),"Partial")</f>
        <v>Partial</v>
      </c>
      <c r="B139" s="62">
        <f>IFERROR(__xludf.DUMMYFUNCTION("""COMPUTED_VALUE"""),163.0)</f>
        <v>163</v>
      </c>
      <c r="C139" s="61" t="str">
        <f>IFERROR(__xludf.DUMMYFUNCTION("""COMPUTED_VALUE"""),"Partial")</f>
        <v>Partial</v>
      </c>
      <c r="D139" s="63" t="str">
        <f>IFERROR(__xludf.DUMMYFUNCTION("""COMPUTED_VALUE"""),"Submitted")</f>
        <v>Submitted</v>
      </c>
      <c r="E139" s="63">
        <f>IFERROR(__xludf.DUMMYFUNCTION("""COMPUTED_VALUE"""),46209.07083333333)</f>
        <v>46209.07083</v>
      </c>
      <c r="F139" s="61" t="str">
        <f>IFERROR(__xludf.DUMMYFUNCTION("""COMPUTED_VALUE"""),"Asa Rafiq")</f>
        <v>Asa Rafiq</v>
      </c>
      <c r="G139" s="61" t="str">
        <f>IFERROR(__xludf.DUMMYFUNCTION("""COMPUTED_VALUE"""),"Asa Mohammed Rafiq")</f>
        <v>Asa Mohammed Rafiq</v>
      </c>
      <c r="H139" s="61" t="str">
        <f>IFERROR(__xludf.DUMMYFUNCTION("""COMPUTED_VALUE"""),"asa.mohammd@gmail.com")</f>
        <v>asa.mohammd@gmail.com</v>
      </c>
      <c r="I139" s="61" t="str">
        <f>IFERROR(__xludf.DUMMYFUNCTION("""COMPUTED_VALUE"""),"asa.mohammed@gmail.com")</f>
        <v>asa.mohammed@gmail.com</v>
      </c>
      <c r="J139" s="61" t="str">
        <f>IFERROR(__xludf.DUMMYFUNCTION("""COMPUTED_VALUE"""),"Tawer City/ Mail Mahmood Road")</f>
        <v>Tawer City/ Mail Mahmood Road</v>
      </c>
      <c r="K139" s="61" t="str">
        <f>IFERROR(__xludf.DUMMYFUNCTION("""COMPUTED_VALUE"""),"Iraqi")</f>
        <v>Iraqi</v>
      </c>
      <c r="L139" s="64" t="str">
        <f>IFERROR(__xludf.DUMMYFUNCTION("""COMPUTED_VALUE"""),"+9647709741360")</f>
        <v>+9647709741360</v>
      </c>
      <c r="M139" s="64">
        <f>IFERROR(__xludf.DUMMYFUNCTION("""COMPUTED_VALUE"""),34087.0)</f>
        <v>34087</v>
      </c>
      <c r="N139" s="61" t="str">
        <f>IFERROR(__xludf.DUMMYFUNCTION("""COMPUTED_VALUE"""),"B47650223")</f>
        <v>B47650223</v>
      </c>
      <c r="O139" s="61" t="str">
        <f>IFERROR(__xludf.DUMMYFUNCTION("""COMPUTED_VALUE"""),"+9647709741360")</f>
        <v>+9647709741360</v>
      </c>
      <c r="P139" s="61"/>
      <c r="Q139" s="61"/>
      <c r="R139" s="61"/>
      <c r="S139" s="61" t="str">
        <f>IFERROR(__xludf.DUMMYFUNCTION("""COMPUTED_VALUE"""),"d08846b3-27a7-4e87-bf44-9679cf3e574c.jpeg")</f>
        <v>d08846b3-27a7-4e87-bf44-9679cf3e574c.jpeg</v>
      </c>
      <c r="T139" s="61" t="str">
        <f>IFERROR(__xludf.DUMMYFUNCTION("""COMPUTED_VALUE"""),"CamScanner 1-15-26 20.43.jpg")</f>
        <v>CamScanner 1-15-26 20.43.jpg</v>
      </c>
      <c r="U139" s="61" t="str">
        <f>IFERROR(__xludf.DUMMYFUNCTION("""COMPUTED_VALUE"""),"Bachelor's Degree")</f>
        <v>Bachelor's Degree</v>
      </c>
      <c r="V139" s="61" t="str">
        <f>IFERROR(__xludf.DUMMYFUNCTION("""COMPUTED_VALUE"""),"Bachelor of Pharmacy (B.Pharm)")</f>
        <v>Bachelor of Pharmacy (B.Pharm)</v>
      </c>
      <c r="W139" s="61" t="str">
        <f>IFERROR(__xludf.DUMMYFUNCTION("""COMPUTED_VALUE"""),"Pharmacy")</f>
        <v>Pharmacy</v>
      </c>
      <c r="X139" s="61" t="str">
        <f>IFERROR(__xludf.DUMMYFUNCTION("""COMPUTED_VALUE"""),"Amman Al Ahliyya University")</f>
        <v>Amman Al Ahliyya University</v>
      </c>
      <c r="Y139" s="61" t="str">
        <f>IFERROR(__xludf.DUMMYFUNCTION("""COMPUTED_VALUE"""),"No")</f>
        <v>No</v>
      </c>
      <c r="Z139" s="61" t="str">
        <f>IFERROR(__xludf.DUMMYFUNCTION("""COMPUTED_VALUE"""),"Jordan")</f>
        <v>Jordan</v>
      </c>
      <c r="AA139" s="61" t="str">
        <f>IFERROR(__xludf.DUMMYFUNCTION("""COMPUTED_VALUE"""),"No")</f>
        <v>No</v>
      </c>
      <c r="AB139" s="61"/>
      <c r="AC139" s="61"/>
      <c r="AD139" s="61" t="str">
        <f>IFERROR(__xludf.DUMMYFUNCTION("""COMPUTED_VALUE"""),"Shar Hospital")</f>
        <v>Shar Hospital</v>
      </c>
      <c r="AE139" s="65" t="str">
        <f>IFERROR(__xludf.DUMMYFUNCTION("""COMPUTED_VALUE"""),"https://shar-hospital.com/")</f>
        <v>https://shar-hospital.com/</v>
      </c>
      <c r="AF139" s="61" t="str">
        <f>IFERROR(__xludf.DUMMYFUNCTION("""COMPUTED_VALUE"""),"Volunteer Pharmacist")</f>
        <v>Volunteer Pharmacist</v>
      </c>
      <c r="AG139" s="61" t="str">
        <f>IFERROR(__xludf.DUMMYFUNCTION("""COMPUTED_VALUE"""),"3 years")</f>
        <v>3 years</v>
      </c>
      <c r="AH139" s="61" t="str">
        <f>IFERROR(__xludf.DUMMYFUNCTION("""COMPUTED_VALUE"""),"Yes")</f>
        <v>Yes</v>
      </c>
      <c r="AI139" s="61" t="str">
        <f>IFERROR(__xludf.DUMMYFUNCTION("""COMPUTED_VALUE"""),"Pharmacist Supervisor at Naz Pharmacy")</f>
        <v>Pharmacist Supervisor at Naz Pharmacy</v>
      </c>
      <c r="AJ139" s="61" t="str">
        <f>IFERROR(__xludf.DUMMYFUNCTION("""COMPUTED_VALUE"""),"no")</f>
        <v>no</v>
      </c>
      <c r="AK139" s="61"/>
      <c r="AL139" s="61"/>
      <c r="AM139" s="61" t="str">
        <f>IFERROR(__xludf.DUMMYFUNCTION("""COMPUTED_VALUE"""),"Asa_Mohammed_Rafiq_CV.docx.pdf")</f>
        <v>Asa_Mohammed_Rafiq_CV.docx.pdf</v>
      </c>
      <c r="AN139" s="61" t="str">
        <f>IFERROR(__xludf.DUMMYFUNCTION("""COMPUTED_VALUE"""),"Changing the world does not always require grand gestures. Throughout my career as a pharmacist, I have learned that meaningful change begins by improving the lives of others. Every day, I support patients during some of the most difficult moments of thei"&amp;"r lives by explaining their medications, answering their questions, and helping them feel confident about their treatment. I also encourage my family, friends, and community to rely on accurate health information rather than misinformation. These experien"&amp;"ces have shown me that lasting impact is built through compassion, trust, and education, and I hope to expand that impact by collaborating with young leaders from around the world.")</f>
        <v>Changing the world does not always require grand gestures. Throughout my career as a pharmacist, I have learned that meaningful change begins by improving the lives of others. Every day, I support patients during some of the most difficult moments of their lives by explaining their medications, answering their questions, and helping them feel confident about their treatment. I also encourage my family, friends, and community to rely on accurate health information rather than misinformation. These experiences have shown me that lasting impact is built through compassion, trust, and education, and I hope to expand that impact by collaborating with young leaders from around the world.</v>
      </c>
      <c r="AO139" s="61" t="str">
        <f>IFERROR(__xludf.DUMMYFUNCTION("""COMPUTED_VALUE"""),"Switzerland has earned a unique place in global diplomacy through its long-standing commitment to neutrality, humanitarian values, and peaceful dialogue. Rather than relying on political influence alone, it has become a trusted platform where countries ca"&amp;"n negotiate, cooperate, and work toward resolving conflicts. This approach resonates with me because my work as a pharmacist has taught me that trust, empathy, and clear communication are often the foundation of solving complex problems. Switzerland demon"&amp;"strates that lasting influence comes from credibility, respect, and a genuine commitment to serving humanity—qualities that every future leader should strive to embody.")</f>
        <v>Switzerland has earned a unique place in global diplomacy through its long-standing commitment to neutrality, humanitarian values, and peaceful dialogue. Rather than relying on political influence alone, it has become a trusted platform where countries can negotiate, cooperate, and work toward resolving conflicts. This approach resonates with me because my work as a pharmacist has taught me that trust, empathy, and clear communication are often the foundation of solving complex problems. Switzerland demonstrates that lasting influence comes from credibility, respect, and a genuine commitment to serving humanity—qualities that every future leader should strive to embody.</v>
      </c>
      <c r="AP139" s="61" t="str">
        <f>IFERROR(__xludf.DUMMYFUNCTION("""COMPUTED_VALUE"""),"Young people are uniquely positioned to shape the future of diplomacy. Their openness to new ideas, willingness to collaborate, and ability to connect across cultures make them powerful ambassadors for mutual understanding. In today's interconnected world"&amp;", diplomacy is no longer limited to governments; it is also practiced by individuals who build trust, encourage dialogue, and create meaningful relationships between communities.
Working as a pharmacist has given me a practical understanding of these pri"&amp;"nciples. Many patients arrive worried about their medications or influenced by inaccurate health information. Instead of simply dispensing medicine, I take time to listen, understand their concerns, and explain their treatment in clear and reassuring lang"&amp;"uage. Watching fear turn into confidence after an honest conversation has taught me that communication can be just as important as medicine itself.
This experience shapes how I understand public diplomacy. Before solving problems, we must first build tru"&amp;"st, respect different perspectives, and create space for open dialogue. Whether in healthcare or international cooperation, meaningful progress begins with empathy and understanding.
By participating in the Young Public Diplomacy Summit, I hope to exchan"&amp;"ge ideas with young leaders from diverse backgrounds, strengthen my intercultural communication skills, and contribute my healthcare perspective to discussions on global cooperation. Lasting diplomacy begins when people choose dialogue over division and c"&amp;"ollaboration over misunderstanding.")</f>
        <v>Young people are uniquely positioned to shape the future of diplomacy. Their openness to new ideas, willingness to collaborate, and ability to connect across cultures make them powerful ambassadors for mutual understanding. In today's interconnected world, diplomacy is no longer limited to governments; it is also practiced by individuals who build trust, encourage dialogue, and create meaningful relationships between communities.
Working as a pharmacist has given me a practical understanding of these principles. Many patients arrive worried about their medications or influenced by inaccurate health information. Instead of simply dispensing medicine, I take time to listen, understand their concerns, and explain their treatment in clear and reassuring language. Watching fear turn into confidence after an honest conversation has taught me that communication can be just as important as medicine itself.
This experience shapes how I understand public diplomacy. Before solving problems, we must first build trust, respect different perspectives, and create space for open dialogue. Whether in healthcare or international cooperation, meaningful progress begins with empathy and understanding.
By participating in the Young Public Diplomacy Summit, I hope to exchange ideas with young leaders from diverse backgrounds, strengthen my intercultural communication skills, and contribute my healthcare perspective to discussions on global cooperation. Lasting diplomacy begins when people choose dialogue over division and collaboration over misunderstanding.</v>
      </c>
      <c r="AQ139" s="61" t="str">
        <f>IFERROR(__xludf.DUMMYFUNCTION("""COMPUTED_VALUE"""),"Passion is the determination to continue serving others with dedication, even when the work is demanding. It provides the motivation to keep learning, improve continuously, and remain committed to making a positive difference.
One experience that strengt"&amp;"hened this passion took place while I was working in the emergency department. A young child was brought to the hospital as the parents waited anxiously for news. As I prepared the medications and watched the healthcare team respond with urgency and compa"&amp;"ssion, I realized that our responsibility extended far beyond treating illness. We were restoring hope during one of the family's most difficult moments. Seeing the relief on the parents' faces reminded me why I chose this profession.
That experience con"&amp;"tinues to inspire me to develop my knowledge, leadership, and communication skills. It is also why I am applying to the Young Public Diplomacy Summit to learn how I can extend my commitment to serving people beyond healthcare and contribute to stronger un"&amp;"derstanding between communities.")</f>
        <v>Passion is the determination to continue serving others with dedication, even when the work is demanding. It provides the motivation to keep learning, improve continuously, and remain committed to making a positive difference.
One experience that strengthened this passion took place while I was working in the emergency department. A young child was brought to the hospital as the parents waited anxiously for news. As I prepared the medications and watched the healthcare team respond with urgency and compassion, I realized that our responsibility extended far beyond treating illness. We were restoring hope during one of the family's most difficult moments. Seeing the relief on the parents' faces reminded me why I chose this profession.
That experience continues to inspire me to develop my knowledge, leadership, and communication skills. It is also why I am applying to the Young Public Diplomacy Summit to learn how I can extend my commitment to serving people beyond healthcare and contribute to stronger understanding between communities.</v>
      </c>
      <c r="AR139" s="61" t="str">
        <f>IFERROR(__xludf.DUMMYFUNCTION("""COMPUTED_VALUE"""),"Creativity is not only about developing new ideas; it is also about finding better ways to communicate, solve problems, and connect with people. Throughout my career in healthcare, creativity has meant adapting my approach to meet each patient's needs and"&amp;" explaining complex medical information in simple, practical ways that empower them to make informed decisions.
Beyond my professional work, I volunteer in healthcare settings and enjoy supporting pharmacy students by sharing practical knowledge and enco"&amp;"uraging them to grow with confidence. These experiences have taught me that meaningful communication requires empathy, patience, and the ability to understand different perspectives.
These same qualities can become an effective public diplomacy strategy."&amp;" Whether promoting health awareness, participating in community initiatives, or engaging in international exchanges, creativity helps build trust and encourages meaningful dialogue between people from different cultures. By combining professional knowledg"&amp;"e with empathy and collaboration, I hope to create opportunities where young people can learn from one another, exchange ideas, and work together to address shared challenges.
Strong public diplomacy is ultimately built on genuine human connections, and "&amp;"creativity is one of the most powerful tools for creating those connections across cultures and communities.")</f>
        <v>Creativity is not only about developing new ideas; it is also about finding better ways to communicate, solve problems, and connect with people. Throughout my career in healthcare, creativity has meant adapting my approach to meet each patient's needs and explaining complex medical information in simple, practical ways that empower them to make informed decisions.
Beyond my professional work, I volunteer in healthcare settings and enjoy supporting pharmacy students by sharing practical knowledge and encouraging them to grow with confidence. These experiences have taught me that meaningful communication requires empathy, patience, and the ability to understand different perspectives.
These same qualities can become an effective public diplomacy strategy. Whether promoting health awareness, participating in community initiatives, or engaging in international exchanges, creativity helps build trust and encourages meaningful dialogue between people from different cultures. By combining professional knowledge with empathy and collaboration, I hope to create opportunities where young people can learn from one another, exchange ideas, and work together to address shared challenges.
Strong public diplomacy is ultimately built on genuine human connections, and creativity is one of the most powerful tools for creating those connections across cultures and communities.</v>
      </c>
      <c r="AS139" s="61" t="str">
        <f>IFERROR(__xludf.DUMMYFUNCTION("""COMPUTED_VALUE"""),"Yes")</f>
        <v>Yes</v>
      </c>
      <c r="AT139" s="61" t="str">
        <f>IFERROR(__xludf.DUMMYFUNCTION("""COMPUTED_VALUE"""),"Yes")</f>
        <v>Yes</v>
      </c>
      <c r="AU139" s="61" t="str">
        <f>IFERROR(__xludf.DUMMYFUNCTION("""COMPUTED_VALUE"""),"International Public Service Relations")</f>
        <v>International Public Service Relations</v>
      </c>
      <c r="AV139" s="61" t="str">
        <f>IFERROR(__xludf.DUMMYFUNCTION("""COMPUTED_VALUE"""),"The official website")</f>
        <v>The official website</v>
      </c>
      <c r="AW139" s="61"/>
      <c r="AX139" s="66" t="str">
        <f>IFERROR(__xludf.DUMMYFUNCTION("""COMPUTED_VALUE"""),"Yes")</f>
        <v>Yes</v>
      </c>
      <c r="AY139" s="66">
        <f>IFERROR(__xludf.DUMMYFUNCTION("""COMPUTED_VALUE"""),15.99)</f>
        <v>15.99</v>
      </c>
      <c r="AZ139" s="61"/>
      <c r="BA139" s="61"/>
      <c r="BB139" s="61"/>
      <c r="BC139" s="61"/>
      <c r="BD139" s="61"/>
      <c r="BE139" s="61"/>
      <c r="BF139" s="61"/>
      <c r="BG139" s="61"/>
      <c r="BH139" s="61"/>
      <c r="BI139" s="61"/>
      <c r="BJ139" s="61"/>
      <c r="BK139" s="61"/>
      <c r="BL139" s="61"/>
      <c r="BM139" s="61"/>
      <c r="BN139" s="61"/>
      <c r="BO139" s="61"/>
      <c r="BP139" s="61"/>
      <c r="BQ139" s="61"/>
      <c r="BR139" s="61"/>
    </row>
    <row r="140" ht="15.75" customHeight="1">
      <c r="A140" s="61" t="str">
        <f>IFERROR(__xludf.DUMMYFUNCTION("""COMPUTED_VALUE"""),"")</f>
        <v/>
      </c>
      <c r="B140" s="62">
        <f>IFERROR(__xludf.DUMMYFUNCTION("""COMPUTED_VALUE"""),165.0)</f>
        <v>165</v>
      </c>
      <c r="C140" s="61" t="str">
        <f>IFERROR(__xludf.DUMMYFUNCTION("""COMPUTED_VALUE"""),"Self")</f>
        <v>Self</v>
      </c>
      <c r="D140" s="63" t="str">
        <f>IFERROR(__xludf.DUMMYFUNCTION("""COMPUTED_VALUE"""),"Submitted")</f>
        <v>Submitted</v>
      </c>
      <c r="E140" s="63">
        <f>IFERROR(__xludf.DUMMYFUNCTION("""COMPUTED_VALUE"""),46209.11180555556)</f>
        <v>46209.11181</v>
      </c>
      <c r="F140" s="61" t="str">
        <f>IFERROR(__xludf.DUMMYFUNCTION("""COMPUTED_VALUE"""),"Fatima Azahra BENALI")</f>
        <v>Fatima Azahra BENALI</v>
      </c>
      <c r="G140" s="61" t="str">
        <f>IFERROR(__xludf.DUMMYFUNCTION("""COMPUTED_VALUE"""),"Fatima Azahra BENALI")</f>
        <v>Fatima Azahra BENALI</v>
      </c>
      <c r="H140" s="61" t="str">
        <f>IFERROR(__xludf.DUMMYFUNCTION("""COMPUTED_VALUE"""),"Fatimaazahra.benali@essec.edu")</f>
        <v>Fatimaazahra.benali@essec.edu</v>
      </c>
      <c r="I140" s="61" t="str">
        <f>IFERROR(__xludf.DUMMYFUNCTION("""COMPUTED_VALUE"""),"fatizahra.benali@gmail.com")</f>
        <v>fatizahra.benali@gmail.com</v>
      </c>
      <c r="J140" s="61" t="str">
        <f>IFERROR(__xludf.DUMMYFUNCTION("""COMPUTED_VALUE"""),"83 edouard colonne, nanterre, France")</f>
        <v>83 edouard colonne, nanterre, France</v>
      </c>
      <c r="K140" s="61" t="str">
        <f>IFERROR(__xludf.DUMMYFUNCTION("""COMPUTED_VALUE"""),"moroccan")</f>
        <v>moroccan</v>
      </c>
      <c r="L140" s="64" t="str">
        <f>IFERROR(__xludf.DUMMYFUNCTION("""COMPUTED_VALUE"""),"+33767325144")</f>
        <v>+33767325144</v>
      </c>
      <c r="M140" s="64">
        <f>IFERROR(__xludf.DUMMYFUNCTION("""COMPUTED_VALUE"""),38827.0)</f>
        <v>38827</v>
      </c>
      <c r="N140" s="61" t="str">
        <f>IFERROR(__xludf.DUMMYFUNCTION("""COMPUTED_VALUE"""),"PK6590408")</f>
        <v>PK6590408</v>
      </c>
      <c r="O140" s="61" t="str">
        <f>IFERROR(__xludf.DUMMYFUNCTION("""COMPUTED_VALUE"""),"+33651368971")</f>
        <v>+33651368971</v>
      </c>
      <c r="P140" s="65" t="str">
        <f>IFERROR(__xludf.DUMMYFUNCTION("""COMPUTED_VALUE"""),"https://www.linkedin.com/in/fatima-azahra-benali/")</f>
        <v>https://www.linkedin.com/in/fatima-azahra-benali/</v>
      </c>
      <c r="Q140" s="67" t="str">
        <f>IFERROR(__xludf.DUMMYFUNCTION("""COMPUTED_VALUE"""),"https://www.instagram.com/fleurita.benali/")</f>
        <v>https://www.instagram.com/fleurita.benali/</v>
      </c>
      <c r="R140" s="61"/>
      <c r="S140" s="61" t="str">
        <f>IFERROR(__xludf.DUMMYFUNCTION("""COMPUTED_VALUE"""),"Page passports.pdf")</f>
        <v>Page passports.pdf</v>
      </c>
      <c r="T140" s="61" t="str">
        <f>IFERROR(__xludf.DUMMYFUNCTION("""COMPUTED_VALUE"""),"4edc7de3-363f-4097-8eb2-2508481faba6.jpg")</f>
        <v>4edc7de3-363f-4097-8eb2-2508481faba6.jpg</v>
      </c>
      <c r="U140" s="61" t="str">
        <f>IFERROR(__xludf.DUMMYFUNCTION("""COMPUTED_VALUE"""),"bachelor of business administration")</f>
        <v>bachelor of business administration</v>
      </c>
      <c r="V140" s="61" t="str">
        <f>IFERROR(__xludf.DUMMYFUNCTION("""COMPUTED_VALUE"""),"undergraduate")</f>
        <v>undergraduate</v>
      </c>
      <c r="W140" s="61" t="str">
        <f>IFERROR(__xludf.DUMMYFUNCTION("""COMPUTED_VALUE"""),"business administration")</f>
        <v>business administration</v>
      </c>
      <c r="X140" s="61" t="str">
        <f>IFERROR(__xludf.DUMMYFUNCTION("""COMPUTED_VALUE"""),"ESSEC")</f>
        <v>ESSEC</v>
      </c>
      <c r="Y140" s="61" t="str">
        <f>IFERROR(__xludf.DUMMYFUNCTION("""COMPUTED_VALUE"""),"Yes")</f>
        <v>Yes</v>
      </c>
      <c r="Z140" s="61" t="str">
        <f>IFERROR(__xludf.DUMMYFUNCTION("""COMPUTED_VALUE"""),"france")</f>
        <v>france</v>
      </c>
      <c r="AA140" s="61" t="str">
        <f>IFERROR(__xludf.DUMMYFUNCTION("""COMPUTED_VALUE"""),"No")</f>
        <v>No</v>
      </c>
      <c r="AB140" s="61" t="str">
        <f>IFERROR(__xludf.DUMMYFUNCTION("""COMPUTED_VALUE"""),"ESSEC Business school")</f>
        <v>ESSEC Business school</v>
      </c>
      <c r="AC140" s="61" t="str">
        <f>IFERROR(__xludf.DUMMYFUNCTION("""COMPUTED_VALUE"""),"yes")</f>
        <v>yes</v>
      </c>
      <c r="AD140" s="61" t="str">
        <f>IFERROR(__xludf.DUMMYFUNCTION("""COMPUTED_VALUE"""),"yes, L'armée du salut")</f>
        <v>yes, L'armée du salut</v>
      </c>
      <c r="AE140" s="65" t="str">
        <f>IFERROR(__xludf.DUMMYFUNCTION("""COMPUTED_VALUE"""),"https://donner.armeedusalut.fr/mon-don/?codeorigine=ITSEAG01&amp;utm_source=google&amp;utm_medium=cpc&amp;utm_campaign=marqueads&amp;gad_source=1&amp;gad_campaignid=23201623384&amp;gbraid=0AAAAADcOE-OpXeEMbEB7TEHVagfF5rOIn&amp;gclid=CjwKCAjwgajSBhBEEiwASicJU8yIXK4SsdRCZQY5QSB-5JbSH_"&amp;"UtOdwUTwQW0J9RnQqmEnqXncbw8hoCnEAQAvD_BwE")</f>
        <v>https://donner.armeedusalut.fr/mon-don/?codeorigine=ITSEAG01&amp;utm_source=google&amp;utm_medium=cpc&amp;utm_campaign=marqueads&amp;gad_source=1&amp;gad_campaignid=23201623384&amp;gbraid=0AAAAADcOE-OpXeEMbEB7TEHVagfF5rOIn&amp;gclid=CjwKCAjwgajSBhBEEiwASicJU8yIXK4SsdRCZQY5QSB-5JbSH_UtOdwUTwQW0J9RnQqmEnqXncbw8hoCnEAQAvD_BwE</v>
      </c>
      <c r="AF140" s="61" t="str">
        <f>IFERROR(__xludf.DUMMYFUNCTION("""COMPUTED_VALUE"""),"social helper")</f>
        <v>social helper</v>
      </c>
      <c r="AG140" s="61" t="str">
        <f>IFERROR(__xludf.DUMMYFUNCTION("""COMPUTED_VALUE"""),"under one year")</f>
        <v>under one year</v>
      </c>
      <c r="AH140" s="61" t="str">
        <f>IFERROR(__xludf.DUMMYFUNCTION("""COMPUTED_VALUE"""),"No")</f>
        <v>No</v>
      </c>
      <c r="AI140" s="61" t="str">
        <f>IFERROR(__xludf.DUMMYFUNCTION("""COMPUTED_VALUE"""),"When I first joined the Soup, Soap and Salvation Association, I believed my job was to provide food, help people get clean, and offer them a safe place to stay. But I quickly realized that the most important part of our work was something that could not b"&amp;"e measured. It was taking the time to sit next to someone, have a normal conversation, remember their name, and make them feel seen. We also organized activities where they could take part, share moments with others, and feel valued again. This experience"&amp;" completely changed the way I see service. I learned that restoring someone's dignity often starts with a simple human connection.")</f>
        <v>When I first joined the Soup, Soap and Salvation Association, I believed my job was to provide food, help people get clean, and offer them a safe place to stay. But I quickly realized that the most important part of our work was something that could not be measured. It was taking the time to sit next to someone, have a normal conversation, remember their name, and make them feel seen. We also organized activities where they could take part, share moments with others, and feel valued again. This experience completely changed the way I see service. I learned that restoring someone's dignity often starts with a simple human connection.</v>
      </c>
      <c r="AJ140" s="61" t="str">
        <f>IFERROR(__xludf.DUMMYFUNCTION("""COMPUTED_VALUE"""),"yes, The E-MUN AFRICA : the first ESSEC AFRICA's model united nations")</f>
        <v>yes, The E-MUN AFRICA : the first ESSEC AFRICA's model united nations</v>
      </c>
      <c r="AK140" s="61" t="str">
        <f>IFERROR(__xludf.DUMMYFUNCTION("""COMPUTED_VALUE"""),"The aim of E-MUN Africa is to empower young people by giving them a space to develop their leadership, diplomacy, and public speaking skills. Through debates, negotiations, and collaboration, participants learn how international organizations work and how"&amp;" dialogue can help solve global challenges. Beyond the simulations, E-MUN Africa connects students from different universities and backgrounds across Morocco, encouraging cultural exchange, critical thinking, and active citizenship. We also invite experie"&amp;"nced leaders, diplomats, and entrepreneurs, such as Laila Costa-Pereira and Moussa Camara, to share their journeys and inspire participants to believe in their own potential. Our goal is to help young people become more confident, engaged, and ready to cr"&amp;"eate positive change in their communities and beyond.")</f>
        <v>The aim of E-MUN Africa is to empower young people by giving them a space to develop their leadership, diplomacy, and public speaking skills. Through debates, negotiations, and collaboration, participants learn how international organizations work and how dialogue can help solve global challenges. Beyond the simulations, E-MUN Africa connects students from different universities and backgrounds across Morocco, encouraging cultural exchange, critical thinking, and active citizenship. We also invite experienced leaders, diplomats, and entrepreneurs, such as Laila Costa-Pereira and Moussa Camara, to share their journeys and inspire participants to believe in their own potential. Our goal is to help young people become more confident, engaged, and ready to create positive change in their communities and beyond.</v>
      </c>
      <c r="AL140" s="61" t="str">
        <f>IFERROR(__xludf.DUMMYFUNCTION("""COMPUTED_VALUE"""),"Throughout my academic, leadership, and community experiences, I have developed strong skills in leadership, communication, teamwork, and project management. I enjoy bringing people together, organizing initiatives, and turning ideas into reality. Through"&amp;" experiences like co-founding E-MUN ESSEC, leading EMUN Africa, and working with the Soup, Soap and Salvation Association, I have learned to take initiative, solve problems, build meaningful partnerships, and adapt to different situations. These experienc"&amp;"es have also strengthened my empathy, resilience, and ability to connect with people from diverse backgrounds. Above all, I believe my greatest strength is leading with purpose, listening to others, and creating opportunities that empower people and bring"&amp;" communities closer together.")</f>
        <v>Throughout my academic, leadership, and community experiences, I have developed strong skills in leadership, communication, teamwork, and project management. I enjoy bringing people together, organizing initiatives, and turning ideas into reality. Through experiences like co-founding E-MUN ESSEC, leading EMUN Africa, and working with the Soup, Soap and Salvation Association, I have learned to take initiative, solve problems, build meaningful partnerships, and adapt to different situations. These experiences have also strengthened my empathy, resilience, and ability to connect with people from diverse backgrounds. Above all, I believe my greatest strength is leading with purpose, listening to others, and creating opportunities that empower people and bring communities closer together.</v>
      </c>
      <c r="AM140" s="61" t="str">
        <f>IFERROR(__xludf.DUMMYFUNCTION("""COMPUTED_VALUE"""),"fatima_azahra_benali_cv (1).pdf")</f>
        <v>fatima_azahra_benali_cv (1).pdf</v>
      </c>
      <c r="AN140" s="61" t="str">
        <f>IFERROR(__xludf.DUMMYFUNCTION("""COMPUTED_VALUE"""),"Have I ever thought about changing the world? Honestly, yes. I think many young people dream about it. But as I grew older, I realized that changing the world does not always start with big actions. Sometimes, it starts by changing someone's world.
For me"&amp;", that moment came after the earthquake that hit Morocco in September 2023. It was heartbreaking to see entire communities lose their homes and loved ones. But what affected me the most was seeing people who felt unheard while going through one of the har"&amp;"dest moments of their lives.
My father was working closely with local authorities during that period because of his role in public service. Watching him every day, I understood that behind every report or decision there was a family waiting for help. I tr"&amp;"ied to support him in my own way by listening to people, helping communicate their concerns, and making sure their voices reached the people who could take action. I was not making the decisions, but I learned that even helping someone feel heard can make"&amp;" a difference.
That experience changed the way I see impact. Before, I thought changing the world meant doing something extraordinary. Today, I believe it begins with small actions done with sincerity. It begins by standing beside people when they need so"&amp;"meone, by listening before speaking, and by refusing to ignore problems simply because they seem too big.
I am only twenty years old, and I know I still have a lot to learn. But if I can continue helping communities feel represented, creating opportunitie"&amp;"s for young people, and building stronger connections between citizens and institutions, then I believe I am already taking my first steps toward changing the world—one community at a time.")</f>
        <v>Have I ever thought about changing the world? Honestly, yes. I think many young people dream about it. But as I grew older, I realized that changing the world does not always start with big actions. Sometimes, it starts by changing someone's world.
For me, that moment came after the earthquake that hit Morocco in September 2023. It was heartbreaking to see entire communities lose their homes and loved ones. But what affected me the most was seeing people who felt unheard while going through one of the hardest moments of their lives.
My father was working closely with local authorities during that period because of his role in public service. Watching him every day, I understood that behind every report or decision there was a family waiting for help. I tried to support him in my own way by listening to people, helping communicate their concerns, and making sure their voices reached the people who could take action. I was not making the decisions, but I learned that even helping someone feel heard can make a difference.
That experience changed the way I see impact. Before, I thought changing the world meant doing something extraordinary. Today, I believe it begins with small actions done with sincerity. It begins by standing beside people when they need someone, by listening before speaking, and by refusing to ignore problems simply because they seem too big.
I am only twenty years old, and I know I still have a lot to learn. But if I can continue helping communities feel represented, creating opportunities for young people, and building stronger connections between citizens and institutions, then I believe I am already taking my first steps toward changing the world—one community at a time.</v>
      </c>
      <c r="AO140" s="61" t="str">
        <f>IFERROR(__xludf.DUMMYFUNCTION("""COMPUTED_VALUE"""),"If I had to choose one country, I would choose Rwanda. It may not be the biggest country or the one people talk about the most, but I believe it has become one of the most important examples of diplomacy in the world.
What inspires me is not only Rwanda's"&amp;" role in international relations, but also its own story. After the 1994 genocide, the country faced one of the darkest moments in history. Yet instead of staying divided, it chose reconciliation, dialogue, and rebuilding. Today, Rwanda is known for promo"&amp;"ting peace, contributing to United Nations peacekeeping missions, and bringing African countries together through regional cooperation.
As someone from Morocco, this speaks to me. Growing up, I learned from my father, who worked in public service, that le"&amp;"adership is not only about making decisions. It is also about listening to people, rebuilding trust, and finding solutions that bring communities together. When I learned about Rwanda's journey, I realized that diplomacy is not only something that happens"&amp;" between governments. It also begins within a country, by healing communities and creating a shared future.
I believe Rwanda shows that a country's influence is not measured by its size or its economy. It is measured by its ability to turn pain into progr"&amp;"ess and to inspire others through peace, resilience, and cooperation.
For me, that is the true meaning of diplomacy, and that is why I consider Rwanda one of the most diplomatically significant countries in the world.")</f>
        <v>If I had to choose one country, I would choose Rwanda. It may not be the biggest country or the one people talk about the most, but I believe it has become one of the most important examples of diplomacy in the world.
What inspires me is not only Rwanda's role in international relations, but also its own story. After the 1994 genocide, the country faced one of the darkest moments in history. Yet instead of staying divided, it chose reconciliation, dialogue, and rebuilding. Today, Rwanda is known for promoting peace, contributing to United Nations peacekeeping missions, and bringing African countries together through regional cooperation.
As someone from Morocco, this speaks to me. Growing up, I learned from my father, who worked in public service, that leadership is not only about making decisions. It is also about listening to people, rebuilding trust, and finding solutions that bring communities together. When I learned about Rwanda's journey, I realized that diplomacy is not only something that happens between governments. It also begins within a country, by healing communities and creating a shared future.
I believe Rwanda shows that a country's influence is not measured by its size or its economy. It is measured by its ability to turn pain into progress and to inspire others through peace, resilience, and cooperation.
For me, that is the true meaning of diplomacy, and that is why I consider Rwanda one of the most diplomatically significant countries in the world.</v>
      </c>
      <c r="AP140" s="61" t="str">
        <f>IFERROR(__xludf.DUMMYFUNCTION("""COMPUTED_VALUE"""),"I believe young people have an important role in diplomacy because we bring new ideas, different perspectives, and the courage to ask questions. We grow up in a connected world where cultures, opinions, and challenges are shared across borders. Because of"&amp;" this, I think young people can help build understanding between communities before misunderstandings become conflicts.
For me, diplomacy is not only something that happens between governments. It also happens every time people from different backgrounds "&amp;"choose to listen to each other with respect. That is why I relate strongly to the idea of public diplomacy. It is about building trust, creating dialogue, and bringing people together through education, culture, and shared experiences.
This is one of the "&amp;"reasons why I co-founded E-MUN ESSEC, the first Model United Nations at ESSEC Africa. Our goal was not simply to organize a conference. We wanted to create a space where students from different universities across Morocco could meet, exchange ideas, and l"&amp;"earn how dialogue can solve problems better than conflict. Seeing participants leave with new friendships, greater confidence, and a better understanding of global issues showed me the real impact that diplomacy can have.
I have also participated in sever"&amp;"al Model United Nations conferences, where I learned to represent countries, defend different points of view, negotiate, and find common ground with people who did not always agree with me. Those experiences taught me that diplomacy is not about winning a"&amp;"n argument. It is about finding solutions that everyone can support.
As a young Moroccan, I also grew up watching my father work in public service. He taught me that before solving any problem, you have to listen. I carry this lesson with me in every lead"&amp;"ership experience because I believe listening is one of the strongest diplomatic skills anyone can have.
I hope to continue promoting dialogue wherever I go. Whether through international forums, youth initiatives, or future public service, I want to help"&amp;" create spaces where people feel heard and where differences become opportunities to learn from one another. I believe that this is how young people can make diplomacy stronger, not only between countries, but also between people.")</f>
        <v>I believe young people have an important role in diplomacy because we bring new ideas, different perspectives, and the courage to ask questions. We grow up in a connected world where cultures, opinions, and challenges are shared across borders. Because of this, I think young people can help build understanding between communities before misunderstandings become conflicts.
For me, diplomacy is not only something that happens between governments. It also happens every time people from different backgrounds choose to listen to each other with respect. That is why I relate strongly to the idea of public diplomacy. It is about building trust, creating dialogue, and bringing people together through education, culture, and shared experiences.
This is one of the reasons why I co-founded E-MUN ESSEC, the first Model United Nations at ESSEC Africa. Our goal was not simply to organize a conference. We wanted to create a space where students from different universities across Morocco could meet, exchange ideas, and learn how dialogue can solve problems better than conflict. Seeing participants leave with new friendships, greater confidence, and a better understanding of global issues showed me the real impact that diplomacy can have.
I have also participated in several Model United Nations conferences, where I learned to represent countries, defend different points of view, negotiate, and find common ground with people who did not always agree with me. Those experiences taught me that diplomacy is not about winning an argument. It is about finding solutions that everyone can support.
As a young Moroccan, I also grew up watching my father work in public service. He taught me that before solving any problem, you have to listen. I carry this lesson with me in every leadership experience because I believe listening is one of the strongest diplomatic skills anyone can have.
I hope to continue promoting dialogue wherever I go. Whether through international forums, youth initiatives, or future public service, I want to help create spaces where people feel heard and where differences become opportunities to learn from one another. I believe that this is how young people can make diplomacy stronger, not only between countries, but also between people.</v>
      </c>
      <c r="AQ140" s="61" t="str">
        <f>IFERROR(__xludf.DUMMYFUNCTION("""COMPUTED_VALUE"""),"""Passion is like a small flame. By itself, it gives light, but if you don't protect it and feed it, it slowly fades away.""
For me, passion is difficult to explain because it is more of a feeling than a word. It is the reason I wake up excited to work on"&amp;" a project. It is what keeps me curious, even when things become difficult. But as I have grown, I have learned that passion alone is not enough.
There were many moments when I was passionate about an idea, but passion did not organize a conference, build"&amp;" partnerships, or solve problems. During E-MUN Africa, my team and I spent six months preparing our first conference. There were times when we felt tired and unsure if everything would come together. Passion made us believe in the project, but what truly "&amp;"made it happen was consistency. It was showing up every day, solving one problem after another, encouraging each other, and refusing to give up.
I learned the same lesson during my internship with the Soup, Soap and Salvation Association. I was passionate"&amp;" about helping people, but I quickly understood that real impact comes from commitment. Some days were emotionally difficult, but the people we met needed us to be present, patient, and reliable. Passion brought me there, but consistency allowed me to mak"&amp;"e a difference.
Today, I see passion as the beginning of every journey, not the end. It gives us purpose, but ambition gives us direction, discipline keeps us moving, and resilience helps us continue when motivation disappears.
I am passionate about leade"&amp;"rship, diplomacy, and creating opportunities for others. But more importantly, I am committed to working for these goals every day, even when progress is slow. Because in the end, I believe dreams are achieved not only by those who feel deeply, but by tho"&amp;"se who continue even on the days when passion alone is not enough.")</f>
        <v>"Passion is like a small flame. By itself, it gives light, but if you don't protect it and feed it, it slowly fades away."
For me, passion is difficult to explain because it is more of a feeling than a word. It is the reason I wake up excited to work on a project. It is what keeps me curious, even when things become difficult. But as I have grown, I have learned that passion alone is not enough.
There were many moments when I was passionate about an idea, but passion did not organize a conference, build partnerships, or solve problems. During E-MUN Africa, my team and I spent six months preparing our first conference. There were times when we felt tired and unsure if everything would come together. Passion made us believe in the project, but what truly made it happen was consistency. It was showing up every day, solving one problem after another, encouraging each other, and refusing to give up.
I learned the same lesson during my internship with the Soup, Soap and Salvation Association. I was passionate about helping people, but I quickly understood that real impact comes from commitment. Some days were emotionally difficult, but the people we met needed us to be present, patient, and reliable. Passion brought me there, but consistency allowed me to make a difference.
Today, I see passion as the beginning of every journey, not the end. It gives us purpose, but ambition gives us direction, discipline keeps us moving, and resilience helps us continue when motivation disappears.
I am passionate about leadership, diplomacy, and creating opportunities for others. But more importantly, I am committed to working for these goals every day, even when progress is slow. Because in the end, I believe dreams are achieved not only by those who feel deeply, but by those who continue even on the days when passion alone is not enough.</v>
      </c>
      <c r="AR140" s="61" t="str">
        <f>IFERROR(__xludf.DUMMYFUNCTION("""COMPUTED_VALUE"""),"Yes, I consider myself a creative person, but not only in an artistic way. Creativity, for me, is also about finding new ways to connect people and help them understand each other.
Since I was young, I have loved expressing myself through fashion design, "&amp;"painting, poetry, reading, and writing. These activities taught me that every person has a different story and that there are many ways to share it. They helped me become more curious, open-minded, and willing to see the world through someone else's eyes."&amp;"
I also use creativity when I work with people. During Model United Nations conferences and while co-founding E-MUN ESSEC, I learned that every debate brings together different opinions, cultures, and ways of thinking. Instead of trying to convince others"&amp;" that my idea was the best, I tried to create conversations where everyone felt comfortable sharing their perspective. I believe that sometimes the most creative solution is simply finding a new way for people to listen to one another.
I think this is whe"&amp;"re creativity becomes a powerful tool for public diplomacy. Today, diplomacy is not only built through official meetings between governments. It is also built through young people, cultural exchange, education, and dialogue. A creative public diplomacy st"&amp;"rategy should make international issues easier to understand and encourage people from different backgrounds to connect instead of divide.
If I had the opportunity, I would create a ""Stories Beyond Borders"" initiative where young people from different c"&amp;"ountries share personal stories, traditions, and local challenges through short videos, exhibitions, poetry, or discussions. I believe that when people discover the human story behind another culture, stereotypes begin to disappear. It becomes easier to b"&amp;"uild trust, respect, and cooperation.
To me, creativity is not only about creating art. It is about creating understanding. And in a world where people are often separated by language, culture, or politics, I believe understanding is one of the strongest "&amp;"forms of diplomacy.")</f>
        <v>Yes, I consider myself a creative person, but not only in an artistic way. Creativity, for me, is also about finding new ways to connect people and help them understand each other.
Since I was young, I have loved expressing myself through fashion design, painting, poetry, reading, and writing. These activities taught me that every person has a different story and that there are many ways to share it. They helped me become more curious, open-minded, and willing to see the world through someone else's eyes.
I also use creativity when I work with people. During Model United Nations conferences and while co-founding E-MUN ESSEC, I learned that every debate brings together different opinions, cultures, and ways of thinking. Instead of trying to convince others that my idea was the best, I tried to create conversations where everyone felt comfortable sharing their perspective. I believe that sometimes the most creative solution is simply finding a new way for people to listen to one another.
I think this is where creativity becomes a powerful tool for public diplomacy. Today, diplomacy is not only built through official meetings between governments. It is also built through young people, cultural exchange, education, and dialogue. A creative public diplomacy strategy should make international issues easier to understand and encourage people from different backgrounds to connect instead of divide.
If I had the opportunity, I would create a "Stories Beyond Borders" initiative where young people from different countries share personal stories, traditions, and local challenges through short videos, exhibitions, poetry, or discussions. I believe that when people discover the human story behind another culture, stereotypes begin to disappear. It becomes easier to build trust, respect, and cooperation.
To me, creativity is not only about creating art. It is about creating understanding. And in a world where people are often separated by language, culture, or politics, I believe understanding is one of the strongest forms of diplomacy.</v>
      </c>
      <c r="AS140" s="61" t="str">
        <f>IFERROR(__xludf.DUMMYFUNCTION("""COMPUTED_VALUE"""),"Yes")</f>
        <v>Yes</v>
      </c>
      <c r="AT140" s="61" t="str">
        <f>IFERROR(__xludf.DUMMYFUNCTION("""COMPUTED_VALUE"""),"Yes")</f>
        <v>Yes</v>
      </c>
      <c r="AU140" s="61" t="str">
        <f>IFERROR(__xludf.DUMMYFUNCTION("""COMPUTED_VALUE"""),"Global Politics, Diplomacy &amp; Identities")</f>
        <v>Global Politics, Diplomacy &amp; Identities</v>
      </c>
      <c r="AV140" s="61" t="str">
        <f>IFERROR(__xludf.DUMMYFUNCTION("""COMPUTED_VALUE"""),"fullyscholarship website")</f>
        <v>fullyscholarship website</v>
      </c>
      <c r="AW140" s="61"/>
      <c r="AX140" s="66" t="str">
        <f>IFERROR(__xludf.DUMMYFUNCTION("""COMPUTED_VALUE"""),"Yes")</f>
        <v>Yes</v>
      </c>
      <c r="AY140" s="66">
        <f>IFERROR(__xludf.DUMMYFUNCTION("""COMPUTED_VALUE"""),15.99)</f>
        <v>15.99</v>
      </c>
      <c r="AZ140" s="61"/>
      <c r="BA140" s="61"/>
      <c r="BB140" s="61"/>
      <c r="BC140" s="61"/>
      <c r="BD140" s="61"/>
      <c r="BE140" s="61"/>
      <c r="BF140" s="61"/>
      <c r="BG140" s="61"/>
      <c r="BH140" s="61"/>
      <c r="BI140" s="61"/>
      <c r="BJ140" s="61"/>
      <c r="BK140" s="61"/>
      <c r="BL140" s="61"/>
      <c r="BM140" s="61"/>
      <c r="BN140" s="61"/>
      <c r="BO140" s="61"/>
      <c r="BP140" s="61"/>
      <c r="BQ140" s="61"/>
      <c r="BR140" s="61"/>
    </row>
    <row r="141" ht="15.75" customHeight="1">
      <c r="A141" s="61" t="str">
        <f>IFERROR(__xludf.DUMMYFUNCTION("""COMPUTED_VALUE"""),"Partial")</f>
        <v>Partial</v>
      </c>
      <c r="B141" s="62">
        <f>IFERROR(__xludf.DUMMYFUNCTION("""COMPUTED_VALUE"""),166.0)</f>
        <v>166</v>
      </c>
      <c r="C141" s="61" t="str">
        <f>IFERROR(__xludf.DUMMYFUNCTION("""COMPUTED_VALUE"""),"Partial")</f>
        <v>Partial</v>
      </c>
      <c r="D141" s="63" t="str">
        <f>IFERROR(__xludf.DUMMYFUNCTION("""COMPUTED_VALUE"""),"Submitted")</f>
        <v>Submitted</v>
      </c>
      <c r="E141" s="63">
        <f>IFERROR(__xludf.DUMMYFUNCTION("""COMPUTED_VALUE"""),46209.13125)</f>
        <v>46209.13125</v>
      </c>
      <c r="F141" s="61" t="str">
        <f>IFERROR(__xludf.DUMMYFUNCTION("""COMPUTED_VALUE"""),"Rahim NiiOkai Mettle")</f>
        <v>Rahim NiiOkai Mettle</v>
      </c>
      <c r="G141" s="61" t="str">
        <f>IFERROR(__xludf.DUMMYFUNCTION("""COMPUTED_VALUE"""),"Mettle Rahim Nii Okai")</f>
        <v>Mettle Rahim Nii Okai</v>
      </c>
      <c r="H141" s="61" t="str">
        <f>IFERROR(__xludf.DUMMYFUNCTION("""COMPUTED_VALUE"""),"abdulrahimmettle6@gmail.com")</f>
        <v>abdulrahimmettle6@gmail.com</v>
      </c>
      <c r="I141" s="61" t="str">
        <f>IFERROR(__xludf.DUMMYFUNCTION("""COMPUTED_VALUE"""),"muftispecter20@gmail.com")</f>
        <v>muftispecter20@gmail.com</v>
      </c>
      <c r="J141" s="61" t="str">
        <f>IFERROR(__xludf.DUMMYFUNCTION("""COMPUTED_VALUE"""),"AK-317-2344, Kumasi, Ghana")</f>
        <v>AK-317-2344, Kumasi, Ghana</v>
      </c>
      <c r="K141" s="61" t="str">
        <f>IFERROR(__xludf.DUMMYFUNCTION("""COMPUTED_VALUE"""),"Ghanaian")</f>
        <v>Ghanaian</v>
      </c>
      <c r="L141" s="64" t="str">
        <f>IFERROR(__xludf.DUMMYFUNCTION("""COMPUTED_VALUE"""),"+233245723834")</f>
        <v>+233245723834</v>
      </c>
      <c r="M141" s="64">
        <f>IFERROR(__xludf.DUMMYFUNCTION("""COMPUTED_VALUE"""),36165.0)</f>
        <v>36165</v>
      </c>
      <c r="N141" s="61" t="str">
        <f>IFERROR(__xludf.DUMMYFUNCTION("""COMPUTED_VALUE"""),"G3860140")</f>
        <v>G3860140</v>
      </c>
      <c r="O141" s="61" t="str">
        <f>IFERROR(__xludf.DUMMYFUNCTION("""COMPUTED_VALUE"""),"+233543032805")</f>
        <v>+233543032805</v>
      </c>
      <c r="P141" s="61"/>
      <c r="Q141" s="61"/>
      <c r="R141" s="61" t="str">
        <f>IFERROR(__xludf.DUMMYFUNCTION("""COMPUTED_VALUE"""),"Rahim Mettle")</f>
        <v>Rahim Mettle</v>
      </c>
      <c r="S141" s="61" t="str">
        <f>IFERROR(__xludf.DUMMYFUNCTION("""COMPUTED_VALUE"""),"passport.jpg")</f>
        <v>passport.jpg</v>
      </c>
      <c r="T141" s="61" t="str">
        <f>IFERROR(__xludf.DUMMYFUNCTION("""COMPUTED_VALUE"""),"Mettle Rahim Photo.png")</f>
        <v>Mettle Rahim Photo.png</v>
      </c>
      <c r="U141" s="61" t="str">
        <f>IFERROR(__xludf.DUMMYFUNCTION("""COMPUTED_VALUE"""),"BSc")</f>
        <v>BSc</v>
      </c>
      <c r="V141" s="61" t="str">
        <f>IFERROR(__xludf.DUMMYFUNCTION("""COMPUTED_VALUE"""),"Environmental Science")</f>
        <v>Environmental Science</v>
      </c>
      <c r="W141" s="61" t="str">
        <f>IFERROR(__xludf.DUMMYFUNCTION("""COMPUTED_VALUE"""),"Green Environment")</f>
        <v>Green Environment</v>
      </c>
      <c r="X141" s="61" t="str">
        <f>IFERROR(__xludf.DUMMYFUNCTION("""COMPUTED_VALUE"""),"Kwame Nkrumah University of Science and Technology")</f>
        <v>Kwame Nkrumah University of Science and Technology</v>
      </c>
      <c r="Y141" s="61" t="str">
        <f>IFERROR(__xludf.DUMMYFUNCTION("""COMPUTED_VALUE"""),"No")</f>
        <v>No</v>
      </c>
      <c r="Z141" s="61" t="str">
        <f>IFERROR(__xludf.DUMMYFUNCTION("""COMPUTED_VALUE"""),"Ghana")</f>
        <v>Ghana</v>
      </c>
      <c r="AA141" s="61" t="str">
        <f>IFERROR(__xludf.DUMMYFUNCTION("""COMPUTED_VALUE"""),"No")</f>
        <v>No</v>
      </c>
      <c r="AB141" s="61"/>
      <c r="AC141" s="61" t="str">
        <f>IFERROR(__xludf.DUMMYFUNCTION("""COMPUTED_VALUE"""),"Yes")</f>
        <v>Yes</v>
      </c>
      <c r="AD141" s="61" t="str">
        <f>IFERROR(__xludf.DUMMYFUNCTION("""COMPUTED_VALUE"""),"Ghana Muslim Students Association")</f>
        <v>Ghana Muslim Students Association</v>
      </c>
      <c r="AE141" s="65" t="str">
        <f>IFERROR(__xludf.DUMMYFUNCTION("""COMPUTED_VALUE"""),"https://web.facebook.com/profile.php?id=100088791565095")</f>
        <v>https://web.facebook.com/profile.php?id=100088791565095</v>
      </c>
      <c r="AF141" s="61" t="str">
        <f>IFERROR(__xludf.DUMMYFUNCTION("""COMPUTED_VALUE"""),"Vice President")</f>
        <v>Vice President</v>
      </c>
      <c r="AG141" s="61" t="str">
        <f>IFERROR(__xludf.DUMMYFUNCTION("""COMPUTED_VALUE"""),"10")</f>
        <v>10</v>
      </c>
      <c r="AH141" s="61" t="str">
        <f>IFERROR(__xludf.DUMMYFUNCTION("""COMPUTED_VALUE"""),"Yes")</f>
        <v>Yes</v>
      </c>
      <c r="AI141" s="61" t="str">
        <f>IFERROR(__xludf.DUMMYFUNCTION("""COMPUTED_VALUE"""),"Logistics and Warehouse Manager")</f>
        <v>Logistics and Warehouse Manager</v>
      </c>
      <c r="AJ141" s="61" t="str">
        <f>IFERROR(__xludf.DUMMYFUNCTION("""COMPUTED_VALUE"""),"Yes")</f>
        <v>Yes</v>
      </c>
      <c r="AK141" s="61" t="str">
        <f>IFERROR(__xludf.DUMMYFUNCTION("""COMPUTED_VALUE"""),"Enrolling SHS students into knowledge of tertiary eduaction")</f>
        <v>Enrolling SHS students into knowledge of tertiary eduaction</v>
      </c>
      <c r="AL141" s="61" t="str">
        <f>IFERROR(__xludf.DUMMYFUNCTION("""COMPUTED_VALUE"""),"Writer, Administrator, Critical Thinker and Creative Problem Solving")</f>
        <v>Writer, Administrator, Critical Thinker and Creative Problem Solving</v>
      </c>
      <c r="AM141" s="61" t="str">
        <f>IFERROR(__xludf.DUMMYFUNCTION("""COMPUTED_VALUE"""),"Academic_CV_Rahim_Mettle_2025.pdf")</f>
        <v>Academic_CV_Rahim_Mettle_2025.pdf</v>
      </c>
      <c r="AN141" s="61" t="str">
        <f>IFERROR(__xludf.DUMMYFUNCTION("""COMPUTED_VALUE"""),"Yes I Have, though I've learned change starts small and local. In 2020, leading nine national-service colleagues, I reclaimed five acres of mining-degraded government land in Amansie Central using Mucuna pruriens, a nitrogen-fixing cover crop. Within thre"&amp;"e months, stripped topsoil regained full ground cover and microbial life; GhanaWeb and Angel Online documented it. I didn't wait for funding or permission — I tested a low-cost idea and proved it worked. Alongside this, I've mentored 436 young Ghanaians t"&amp;"hrough leadership camps. My conviction: a single restored acre, a single trained student, becomes a model others can scale.")</f>
        <v>Yes I Have, though I've learned change starts small and local. In 2020, leading nine national-service colleagues, I reclaimed five acres of mining-degraded government land in Amansie Central using Mucuna pruriens, a nitrogen-fixing cover crop. Within three months, stripped topsoil regained full ground cover and microbial life; GhanaWeb and Angel Online documented it. I didn't wait for funding or permission — I tested a low-cost idea and proved it worked. Alongside this, I've mentored 436 young Ghanaians through leadership camps. My conviction: a single restored acre, a single trained student, becomes a model others can scale.</v>
      </c>
      <c r="AO141" s="61" t="str">
        <f>IFERROR(__xludf.DUMMYFUNCTION("""COMPUTED_VALUE"""),"Ghana is a great country and I say that as more than national pride. Ghana punches above its weight diplomatically: it hosts the African Continental Free Trade Area Secretariat in Accra, placing it at the centre of a market of over 1.3 billion people. Kwa"&amp;"me Nkrumah made Ghana the birthplace of Pan-Africanism, and its record of peaceful democratic transitions and UN peacekeeping gives it rare moral authority in a volatile region. The ""Year of Return"" turned history into soft power. For me, Ghana proves d"&amp;"iplomatic weight isn't measured only in economy or arms, but in ideas, stability, and the courage to convene.")</f>
        <v>Ghana is a great country and I say that as more than national pride. Ghana punches above its weight diplomatically: it hosts the African Continental Free Trade Area Secretariat in Accra, placing it at the centre of a market of over 1.3 billion people. Kwame Nkrumah made Ghana the birthplace of Pan-Africanism, and its record of peaceful democratic transitions and UN peacekeeping gives it rare moral authority in a volatile region. The "Year of Return" turned history into soft power. For me, Ghana proves diplomatic weight isn't measured only in economy or arms, but in ideas, stability, and the courage to convene.</v>
      </c>
      <c r="AP141" s="61" t="str">
        <f>IFERROR(__xludf.DUMMYFUNCTION("""COMPUTED_VALUE"""),"Youth are not diplomacy's future. we are its most credible present. Governments negotiate treaties, but it is young people who carry ideas across borders, translate policy into action on the ground, and build the trust that formal diplomacy often cannot r"&amp;"each. In a world fractured by conflict and climate stress, we are the demographic with both the stake and the energy to act.
I relate to public diplomacy not as theory but as practice. As Vice President of Ghana's Muslim Students Association, I organised "&amp;"an eight-day camp training 436 young Ghanaians in leadership and entrepreneurship — quiet nation-building through people. Through Direct Aid Ghana, I coordinate humanitarian logistics that carry goodwill into underserved communities. And when my team recl"&amp;"aimed five acres of mining-degraded land using a simple cover crop, we weren't just restoring soil — we were showing that Ghanaian ingenuity offers the world a low-cost model worth exporting.
That, to me, is public diplomacy: representing your nation thro"&amp;"ugh what you build and who you lift, not just what you say. I want to bring the Global South's environmental and youth voice into rooms where it is too often absent — and carry those connections home.")</f>
        <v>Youth are not diplomacy's future. we are its most credible present. Governments negotiate treaties, but it is young people who carry ideas across borders, translate policy into action on the ground, and build the trust that formal diplomacy often cannot reach. In a world fractured by conflict and climate stress, we are the demographic with both the stake and the energy to act.
I relate to public diplomacy not as theory but as practice. As Vice President of Ghana's Muslim Students Association, I organised an eight-day camp training 436 young Ghanaians in leadership and entrepreneurship — quiet nation-building through people. Through Direct Aid Ghana, I coordinate humanitarian logistics that carry goodwill into underserved communities. And when my team reclaimed five acres of mining-degraded land using a simple cover crop, we weren't just restoring soil — we were showing that Ghanaian ingenuity offers the world a low-cost model worth exporting.
That, to me, is public diplomacy: representing your nation through what you build and who you lift, not just what you say. I want to bring the Global South's environmental and youth voice into rooms where it is too often absent — and carry those connections home.</v>
      </c>
      <c r="AQ141" s="61" t="str">
        <f>IFERROR(__xludf.DUMMYFUNCTION("""COMPUTED_VALUE"""),"Passion, to me, is what keeps you working when no one is watching and no one is paying. It is conviction that outlasts convenience.
I discovered mine in a field of ruined soil. When my team stood on five acres of mining-stripped land in Amansie Central, m"&amp;"ost people saw waste; I saw a question worth answering. We had no budget — only a cheap cover crop, Mucuna pruriens, and the belief that degraded land could live again. Three months later, it did.
That is how passion serves my goals: it turns scarcity int"&amp;"o method. It made me lead 436 students through a leadership camp without funding, and coordinate humanitarian logistics for communities others overlook. Passion gives me patience for slow, unglamorous work — restoring soil, mentoring youth, building evide"&amp;"nce. Talent opens doors, but passion is what carries you through the years of effort before anyone claps.")</f>
        <v>Passion, to me, is what keeps you working when no one is watching and no one is paying. It is conviction that outlasts convenience.
I discovered mine in a field of ruined soil. When my team stood on five acres of mining-stripped land in Amansie Central, most people saw waste; I saw a question worth answering. We had no budget — only a cheap cover crop, Mucuna pruriens, and the belief that degraded land could live again. Three months later, it did.
That is how passion serves my goals: it turns scarcity into method. It made me lead 436 students through a leadership camp without funding, and coordinate humanitarian logistics for communities others overlook. Passion gives me patience for slow, unglamorous work — restoring soil, mentoring youth, building evidence. Talent opens doors, but passion is what carries you through the years of effort before anyone claps.</v>
      </c>
      <c r="AR141" s="61" t="str">
        <f>IFERROR(__xludf.DUMMYFUNCTION("""COMPUTED_VALUE"""),"Yes.Though my creativity shows less in art than in solving problems others walk away from. To me, creativity is seeing possibility where others see a dead end. When my team faced five acres of ruined mining land with no budget, the conventional response w"&amp;"as to abandon it. I chose an unconventional one: Mucuna pruriens, a humble nitrogen-fixing bean, reimagined as a restoration tool. Solving a costly problem with a simple, overlooked resources. That is creative thinking in its most useful form.
I am also a"&amp;" creator publicly. I teach, design, and produce educational content that turns complex ideas into forms young people actually engage with.
I would channel this into public diplomacy through storytelling and replicable models. Africa's environmental soluti"&amp;"ons are rarely heard abroad,not because they lack value, but because they lack narrators. My strategy: package grassroots successes like the Mucuna project into simple, visual, shareable stories that cross borders and invite collaboration. Modern diplomac"&amp;"y is won through attention and trust, and both are earned by compelling narrative, not press releases.
I want to be a bridge — carrying Ghana's low-cost, community-driven ideas into global rooms, and bringing partnerships home. Creativity makes people car"&amp;"e about places they've never seen.")</f>
        <v>Yes.Though my creativity shows less in art than in solving problems others walk away from. To me, creativity is seeing possibility where others see a dead end. When my team faced five acres of ruined mining land with no budget, the conventional response was to abandon it. I chose an unconventional one: Mucuna pruriens, a humble nitrogen-fixing bean, reimagined as a restoration tool. Solving a costly problem with a simple, overlooked resources. That is creative thinking in its most useful form.
I am also a creator publicly. I teach, design, and produce educational content that turns complex ideas into forms young people actually engage with.
I would channel this into public diplomacy through storytelling and replicable models. Africa's environmental solutions are rarely heard abroad,not because they lack value, but because they lack narrators. My strategy: package grassroots successes like the Mucuna project into simple, visual, shareable stories that cross borders and invite collaboration. Modern diplomacy is won through attention and trust, and both are earned by compelling narrative, not press releases.
I want to be a bridge — carrying Ghana's low-cost, community-driven ideas into global rooms, and bringing partnerships home. Creativity makes people care about places they've never seen.</v>
      </c>
      <c r="AS141" s="61" t="str">
        <f>IFERROR(__xludf.DUMMYFUNCTION("""COMPUTED_VALUE"""),"Yes")</f>
        <v>Yes</v>
      </c>
      <c r="AT141" s="61" t="str">
        <f>IFERROR(__xludf.DUMMYFUNCTION("""COMPUTED_VALUE"""),"Yes")</f>
        <v>Yes</v>
      </c>
      <c r="AU141" s="61" t="str">
        <f>IFERROR(__xludf.DUMMYFUNCTION("""COMPUTED_VALUE"""),"Global Politics, Diplomacy &amp; Identities")</f>
        <v>Global Politics, Diplomacy &amp; Identities</v>
      </c>
      <c r="AV141" s="61" t="str">
        <f>IFERROR(__xludf.DUMMYFUNCTION("""COMPUTED_VALUE"""),"Scholarship portal")</f>
        <v>Scholarship portal</v>
      </c>
      <c r="AW141" s="61" t="str">
        <f>IFERROR(__xludf.DUMMYFUNCTION("""COMPUTED_VALUE"""),"Public Diplomacy")</f>
        <v>Public Diplomacy</v>
      </c>
      <c r="AX141" s="66" t="str">
        <f>IFERROR(__xludf.DUMMYFUNCTION("""COMPUTED_VALUE"""),"Yes")</f>
        <v>Yes</v>
      </c>
      <c r="AY141" s="66">
        <f>IFERROR(__xludf.DUMMYFUNCTION("""COMPUTED_VALUE"""),15.99)</f>
        <v>15.99</v>
      </c>
      <c r="AZ141" s="61"/>
      <c r="BA141" s="61"/>
      <c r="BB141" s="61"/>
      <c r="BC141" s="61"/>
      <c r="BD141" s="61"/>
      <c r="BE141" s="61"/>
      <c r="BF141" s="61"/>
      <c r="BG141" s="61"/>
      <c r="BH141" s="61"/>
      <c r="BI141" s="61"/>
      <c r="BJ141" s="61"/>
      <c r="BK141" s="61"/>
      <c r="BL141" s="61"/>
      <c r="BM141" s="61"/>
      <c r="BN141" s="61"/>
      <c r="BO141" s="61"/>
      <c r="BP141" s="61"/>
      <c r="BQ141" s="61"/>
      <c r="BR141" s="61"/>
    </row>
    <row r="142" ht="15.75" customHeight="1">
      <c r="A142" s="61" t="str">
        <f>IFERROR(__xludf.DUMMYFUNCTION("""COMPUTED_VALUE"""),"Self")</f>
        <v>Self</v>
      </c>
      <c r="B142" s="62">
        <f>IFERROR(__xludf.DUMMYFUNCTION("""COMPUTED_VALUE"""),167.0)</f>
        <v>167</v>
      </c>
      <c r="C142" s="61" t="str">
        <f>IFERROR(__xludf.DUMMYFUNCTION("""COMPUTED_VALUE"""),"Self")</f>
        <v>Self</v>
      </c>
      <c r="D142" s="63" t="str">
        <f>IFERROR(__xludf.DUMMYFUNCTION("""COMPUTED_VALUE"""),"Submitted")</f>
        <v>Submitted</v>
      </c>
      <c r="E142" s="63">
        <f>IFERROR(__xludf.DUMMYFUNCTION("""COMPUTED_VALUE"""),46209.17361111111)</f>
        <v>46209.17361</v>
      </c>
      <c r="F142" s="61" t="str">
        <f>IFERROR(__xludf.DUMMYFUNCTION("""COMPUTED_VALUE"""),"Amal Abu Hamad")</f>
        <v>Amal Abu Hamad</v>
      </c>
      <c r="G142" s="61" t="str">
        <f>IFERROR(__xludf.DUMMYFUNCTION("""COMPUTED_VALUE"""),"Amal Abu Hamad")</f>
        <v>Amal Abu Hamad</v>
      </c>
      <c r="H142" s="61" t="str">
        <f>IFERROR(__xludf.DUMMYFUNCTION("""COMPUTED_VALUE"""),"mohammadabuhamad227@gmail.com")</f>
        <v>mohammadabuhamad227@gmail.com</v>
      </c>
      <c r="I142" s="61" t="str">
        <f>IFERROR(__xludf.DUMMYFUNCTION("""COMPUTED_VALUE"""),"aabuhamad@stu.okan.edu.tr")</f>
        <v>aabuhamad@stu.okan.edu.tr</v>
      </c>
      <c r="J142" s="61" t="str">
        <f>IFERROR(__xludf.DUMMYFUNCTION("""COMPUTED_VALUE"""),"Turkey, Istanbul, Türkiye")</f>
        <v>Turkey, Istanbul, Türkiye</v>
      </c>
      <c r="K142" s="61" t="str">
        <f>IFERROR(__xludf.DUMMYFUNCTION("""COMPUTED_VALUE"""),"Palestinian")</f>
        <v>Palestinian</v>
      </c>
      <c r="L142" s="64" t="str">
        <f>IFERROR(__xludf.DUMMYFUNCTION("""COMPUTED_VALUE"""),"+905016055898")</f>
        <v>+905016055898</v>
      </c>
      <c r="M142" s="64">
        <f>IFERROR(__xludf.DUMMYFUNCTION("""COMPUTED_VALUE"""),37962.0)</f>
        <v>37962</v>
      </c>
      <c r="N142" s="61" t="str">
        <f>IFERROR(__xludf.DUMMYFUNCTION("""COMPUTED_VALUE"""),"10546586")</f>
        <v>10546586</v>
      </c>
      <c r="O142" s="61" t="str">
        <f>IFERROR(__xludf.DUMMYFUNCTION("""COMPUTED_VALUE"""),"+905367180095")</f>
        <v>+905367180095</v>
      </c>
      <c r="P142" s="61"/>
      <c r="Q142" s="61" t="str">
        <f>IFERROR(__xludf.DUMMYFUNCTION("""COMPUTED_VALUE"""),"amal.abuhamad7")</f>
        <v>amal.abuhamad7</v>
      </c>
      <c r="R142" s="65" t="str">
        <f>IFERROR(__xludf.DUMMYFUNCTION("""COMPUTED_VALUE"""),"https://www.facebook.com/amal.abu.hamad.2025/")</f>
        <v>https://www.facebook.com/amal.abu.hamad.2025/</v>
      </c>
      <c r="S142" s="61" t="str">
        <f>IFERROR(__xludf.DUMMYFUNCTION("""COMPUTED_VALUE"""),"Passport  (1).pdf")</f>
        <v>Passport  (1).pdf</v>
      </c>
      <c r="T142" s="61" t="str">
        <f>IFERROR(__xludf.DUMMYFUNCTION("""COMPUTED_VALUE"""),"1f8cb81c-44ac-4b63-aec3-1b1a71bc5107.jpg")</f>
        <v>1f8cb81c-44ac-4b63-aec3-1b1a71bc5107.jpg</v>
      </c>
      <c r="U142" s="61" t="str">
        <f>IFERROR(__xludf.DUMMYFUNCTION("""COMPUTED_VALUE"""),"Bechalors")</f>
        <v>Bechalors</v>
      </c>
      <c r="V142" s="61" t="str">
        <f>IFERROR(__xludf.DUMMYFUNCTION("""COMPUTED_VALUE"""),"Science")</f>
        <v>Science</v>
      </c>
      <c r="W142" s="61" t="str">
        <f>IFERROR(__xludf.DUMMYFUNCTION("""COMPUTED_VALUE"""),"Physics")</f>
        <v>Physics</v>
      </c>
      <c r="X142" s="61" t="str">
        <f>IFERROR(__xludf.DUMMYFUNCTION("""COMPUTED_VALUE"""),"Arab American University")</f>
        <v>Arab American University</v>
      </c>
      <c r="Y142" s="61" t="str">
        <f>IFERROR(__xludf.DUMMYFUNCTION("""COMPUTED_VALUE"""),"No")</f>
        <v>No</v>
      </c>
      <c r="Z142" s="61" t="str">
        <f>IFERROR(__xludf.DUMMYFUNCTION("""COMPUTED_VALUE"""),"Palestine")</f>
        <v>Palestine</v>
      </c>
      <c r="AA142" s="61" t="str">
        <f>IFERROR(__xludf.DUMMYFUNCTION("""COMPUTED_VALUE"""),"Yes")</f>
        <v>Yes</v>
      </c>
      <c r="AB142" s="61" t="str">
        <f>IFERROR(__xludf.DUMMYFUNCTION("""COMPUTED_VALUE"""),"Erasmus+ young solutions combating hate speech 2026 Turkey-Izmit")</f>
        <v>Erasmus+ young solutions combating hate speech 2026 Turkey-Izmit</v>
      </c>
      <c r="AC142" s="61" t="str">
        <f>IFERROR(__xludf.DUMMYFUNCTION("""COMPUTED_VALUE"""),"yes")</f>
        <v>yes</v>
      </c>
      <c r="AD142" s="61" t="str">
        <f>IFERROR(__xludf.DUMMYFUNCTION("""COMPUTED_VALUE"""),"Medeniyetler Köprüsü / Bridges of Civilizations")</f>
        <v>Medeniyetler Köprüsü / Bridges of Civilizations</v>
      </c>
      <c r="AE142" s="65" t="str">
        <f>IFERROR(__xludf.DUMMYFUNCTION("""COMPUTED_VALUE"""),"https://medkop.org/tr/")</f>
        <v>https://medkop.org/tr/</v>
      </c>
      <c r="AF142" s="61" t="str">
        <f>IFERROR(__xludf.DUMMYFUNCTION("""COMPUTED_VALUE"""),"Volunteer")</f>
        <v>Volunteer</v>
      </c>
      <c r="AG142" s="61" t="str">
        <f>IFERROR(__xludf.DUMMYFUNCTION("""COMPUTED_VALUE"""),"1")</f>
        <v>1</v>
      </c>
      <c r="AH142" s="61" t="str">
        <f>IFERROR(__xludf.DUMMYFUNCTION("""COMPUTED_VALUE"""),"No")</f>
        <v>No</v>
      </c>
      <c r="AI142" s="61"/>
      <c r="AJ142" s="61" t="str">
        <f>IFERROR(__xludf.DUMMYFUNCTION("""COMPUTED_VALUE"""),"No")</f>
        <v>No</v>
      </c>
      <c r="AK142" s="61"/>
      <c r="AL142" s="61" t="str">
        <f>IFERROR(__xludf.DUMMYFUNCTION("""COMPUTED_VALUE"""),"Leadership / Teamwork / Cross-Cultural Communication / Project Management / Problem Solving  / Critical Thinking /  Event Organization / Community Engagement /  Adaptability / Time Management / Facilitation Skills / Intercultural Dialogue / Research Skils"&amp;" / Digital Literacy")</f>
        <v>Leadership / Teamwork / Cross-Cultural Communication / Project Management / Problem Solving  / Critical Thinking /  Event Organization / Community Engagement /  Adaptability / Time Management / Facilitation Skills / Intercultural Dialogue / Research Skils / Digital Literacy</v>
      </c>
      <c r="AM142" s="61" t="str">
        <f>IFERROR(__xludf.DUMMYFUNCTION("""COMPUTED_VALUE"""),"AMAL_CV (1).pdf")</f>
        <v>AMAL_CV (1).pdf</v>
      </c>
      <c r="AN142" s="61" t="str">
        <f>IFERROR(__xludf.DUMMYFUNCTION("""COMPUTED_VALUE"""),"Surely! Changing the world is not something that can happen in days. And it is not something that one person can did. I realised that if I want to change the world I need first to improve myself, inspire my surrounding community, affect them positively by"&amp;" proving that there is hope, and there is goodness in every hardship and a gift in every denial! and step by step, with the people WE CAN CHANGE THE WORLD.")</f>
        <v>Surely! Changing the world is not something that can happen in days. And it is not something that one person can did. I realised that if I want to change the world I need first to improve myself, inspire my surrounding community, affect them positively by proving that there is hope, and there is goodness in every hardship and a gift in every denial! and step by step, with the people WE CAN CHANGE THE WORLD.</v>
      </c>
      <c r="AO142" s="61" t="str">
        <f>IFERROR(__xludf.DUMMYFUNCTION("""COMPUTED_VALUE"""),"I believe there is no single most diplomatically relevant country, because diplomacy is based on international cooperation. Switzerland, for example, is well-known for its neutrality, mediation efforts, and hosting of international organizations, making i"&amp;"t an influential participant in global diplomacy. Instead of relying just on one country's power, I believe that good diplomacy is about encouraging communication, promoting peace, and encouraging international cooperation.")</f>
        <v>I believe there is no single most diplomatically relevant country, because diplomacy is based on international cooperation. Switzerland, for example, is well-known for its neutrality, mediation efforts, and hosting of international organizations, making it an influential participant in global diplomacy. Instead of relying just on one country's power, I believe that good diplomacy is about encouraging communication, promoting peace, and encouraging international cooperation.</v>
      </c>
      <c r="AP142" s="61" t="str">
        <f>IFERROR(__xludf.DUMMYFUNCTION("""COMPUTED_VALUE"""),"I believe that young people play a crucial part in diplomacy by bridging cultural gaps, facilitating debate, and developing mutual understanding. Volunteering, youth exchanges, and community activities allow young people to question preconceptions, share "&amp;"new viewpoints, and contribute to cross-border peaceful cooperation.
For me, public diplomacy is about connecting people, not just countries. It promotes cultural exchange, education, and collaboration, thereby strengthening international links. I can re"&amp;"late to this idea because of my personal experiences as a volunteer, private tutor, and Erasmus+ Youth Exchange participant. Working with people from many backgrounds taught me the value of mutual respect, active listening, and intercultural communication"&amp;". These experiences encouraged me to become a more involved global citizen, utilizing education and community service to effect positive change. I believe that dialog and youth participation are critical to creating a more inclusive, peaceful, and coopera"&amp;"tive world.")</f>
        <v>I believe that young people play a crucial part in diplomacy by bridging cultural gaps, facilitating debate, and developing mutual understanding. Volunteering, youth exchanges, and community activities allow young people to question preconceptions, share new viewpoints, and contribute to cross-border peaceful cooperation.
For me, public diplomacy is about connecting people, not just countries. It promotes cultural exchange, education, and collaboration, thereby strengthening international links. I can relate to this idea because of my personal experiences as a volunteer, private tutor, and Erasmus+ Youth Exchange participant. Working with people from many backgrounds taught me the value of mutual respect, active listening, and intercultural communication. These experiences encouraged me to become a more involved global citizen, utilizing education and community service to effect positive change. I believe that dialog and youth participation are critical to creating a more inclusive, peaceful, and cooperative world.</v>
      </c>
      <c r="AQ142" s="61" t="str">
        <f>IFERROR(__xludf.DUMMYFUNCTION("""COMPUTED_VALUE"""),"To me, passion is more than just doing something I enjoy or am motivated to accomplish. True passion is connected to purpose, dedication, and accountability. I believe it is critical to distinguish between passion and responsibility since we cannot rely s"&amp;"olely on our emotions every day. We don't always feel motivated, yet we still have tasks that demand discipline and regularity.
Passion provides direction and energy, but responsibility keeps us going when motivation lacks. This approach has helped me st"&amp;"ay focused on my academic ambitions, volunteer work, and personal development even during difficult times. I believe that long-term success is attained not only by doing what we enjoy, but also by sticking to our commitments with dedication and determinat"&amp;"ion.")</f>
        <v>To me, passion is more than just doing something I enjoy or am motivated to accomplish. True passion is connected to purpose, dedication, and accountability. I believe it is critical to distinguish between passion and responsibility since we cannot rely solely on our emotions every day. We don't always feel motivated, yet we still have tasks that demand discipline and regularity.
Passion provides direction and energy, but responsibility keeps us going when motivation lacks. This approach has helped me stay focused on my academic ambitions, volunteer work, and personal development even during difficult times. I believe that long-term success is attained not only by doing what we enjoy, but also by sticking to our commitments with dedication and determination.</v>
      </c>
      <c r="AR142" s="61" t="str">
        <f>IFERROR(__xludf.DUMMYFUNCTION("""COMPUTED_VALUE"""),"Yes, I consider myself creative, particularly when it comes to discovering meaningful ways to connect with others and solve problems. As a tutor and volunteer, I've learnt how to express complicated ideas in simple and fascinating ways while adapting to a"&amp;" variety of audiences and cultures.
Creativity can be an effective public diplomacy strategy when utilized to promote understanding rather than simply providing information. Creative educational activities, cultural exchanges, storytelling, and collabora"&amp;"tive projects can unite individuals from many backgrounds, challenge preconceptions, and promote dialogue. Such strategies foster trust and long-term connections, which are essential components of public diplomacy. 
I believe that creativity is most effe"&amp;"ctive when it serves a purpose. By integrating creativity, empathy, communication, and responsibility, we can encourage cooperation, increase cultural understanding, and make diplomacy more accessible to youth and local communities.")</f>
        <v>Yes, I consider myself creative, particularly when it comes to discovering meaningful ways to connect with others and solve problems. As a tutor and volunteer, I've learnt how to express complicated ideas in simple and fascinating ways while adapting to a variety of audiences and cultures.
Creativity can be an effective public diplomacy strategy when utilized to promote understanding rather than simply providing information. Creative educational activities, cultural exchanges, storytelling, and collaborative projects can unite individuals from many backgrounds, challenge preconceptions, and promote dialogue. Such strategies foster trust and long-term connections, which are essential components of public diplomacy. 
I believe that creativity is most effective when it serves a purpose. By integrating creativity, empathy, communication, and responsibility, we can encourage cooperation, increase cultural understanding, and make diplomacy more accessible to youth and local communities.</v>
      </c>
      <c r="AS142" s="61" t="str">
        <f>IFERROR(__xludf.DUMMYFUNCTION("""COMPUTED_VALUE"""),"Yes")</f>
        <v>Yes</v>
      </c>
      <c r="AT142" s="61" t="str">
        <f>IFERROR(__xludf.DUMMYFUNCTION("""COMPUTED_VALUE"""),"Yes")</f>
        <v>Yes</v>
      </c>
      <c r="AU142" s="61" t="str">
        <f>IFERROR(__xludf.DUMMYFUNCTION("""COMPUTED_VALUE"""),"Global Politics, Diplomacy &amp; Identities")</f>
        <v>Global Politics, Diplomacy &amp; Identities</v>
      </c>
      <c r="AV142" s="61" t="str">
        <f>IFERROR(__xludf.DUMMYFUNCTION("""COMPUTED_VALUE"""),"Social media")</f>
        <v>Social media</v>
      </c>
      <c r="AW142" s="61" t="str">
        <f>IFERROR(__xludf.DUMMYFUNCTION("""COMPUTED_VALUE"""),"Public Diplomacy")</f>
        <v>Public Diplomacy</v>
      </c>
      <c r="AX142" s="66" t="str">
        <f>IFERROR(__xludf.DUMMYFUNCTION("""COMPUTED_VALUE"""),"Yes")</f>
        <v>Yes</v>
      </c>
      <c r="AY142" s="66">
        <f>IFERROR(__xludf.DUMMYFUNCTION("""COMPUTED_VALUE"""),15.99)</f>
        <v>15.99</v>
      </c>
      <c r="AZ142" s="61"/>
      <c r="BA142" s="61"/>
      <c r="BB142" s="61"/>
      <c r="BC142" s="61"/>
      <c r="BD142" s="61"/>
      <c r="BE142" s="61"/>
      <c r="BF142" s="61"/>
      <c r="BG142" s="61"/>
      <c r="BH142" s="61"/>
      <c r="BI142" s="61"/>
      <c r="BJ142" s="61"/>
      <c r="BK142" s="61"/>
      <c r="BL142" s="61"/>
      <c r="BM142" s="61"/>
      <c r="BN142" s="61"/>
      <c r="BO142" s="61"/>
      <c r="BP142" s="61"/>
      <c r="BQ142" s="61"/>
      <c r="BR142" s="61"/>
    </row>
    <row r="143" ht="15.75" customHeight="1">
      <c r="A143" s="61" t="str">
        <f>IFERROR(__xludf.DUMMYFUNCTION("""COMPUTED_VALUE"""),"Full/partial")</f>
        <v>Full/partial</v>
      </c>
      <c r="B143" s="62">
        <f>IFERROR(__xludf.DUMMYFUNCTION("""COMPUTED_VALUE"""),168.0)</f>
        <v>168</v>
      </c>
      <c r="C143" s="61" t="str">
        <f>IFERROR(__xludf.DUMMYFUNCTION("""COMPUTED_VALUE"""),"Partial")</f>
        <v>Partial</v>
      </c>
      <c r="D143" s="63" t="str">
        <f>IFERROR(__xludf.DUMMYFUNCTION("""COMPUTED_VALUE"""),"Submitted")</f>
        <v>Submitted</v>
      </c>
      <c r="E143" s="63">
        <f>IFERROR(__xludf.DUMMYFUNCTION("""COMPUTED_VALUE"""),46209.35833333333)</f>
        <v>46209.35833</v>
      </c>
      <c r="F143" s="61" t="str">
        <f>IFERROR(__xludf.DUMMYFUNCTION("""COMPUTED_VALUE"""),"Hina Shahnaz Javed")</f>
        <v>Hina Shahnaz Javed</v>
      </c>
      <c r="G143" s="61" t="str">
        <f>IFERROR(__xludf.DUMMYFUNCTION("""COMPUTED_VALUE"""),"Hina Shahnaz Javed")</f>
        <v>Hina Shahnaz Javed</v>
      </c>
      <c r="H143" s="61" t="str">
        <f>IFERROR(__xludf.DUMMYFUNCTION("""COMPUTED_VALUE"""),"hinashahnaz685@gmail.com")</f>
        <v>hinashahnaz685@gmail.com</v>
      </c>
      <c r="I143" s="61" t="str">
        <f>IFERROR(__xludf.DUMMYFUNCTION("""COMPUTED_VALUE"""),"hina.shahnaz@uni.minerva.edu")</f>
        <v>hina.shahnaz@uni.minerva.edu</v>
      </c>
      <c r="J143" s="61" t="str">
        <f>IFERROR(__xludf.DUMMYFUNCTION("""COMPUTED_VALUE"""),"H# 1977-78, Ahata Sheikh Fazal Elahi, Railway Road, Saddar, Rawalpindi, Pakistan")</f>
        <v>H# 1977-78, Ahata Sheikh Fazal Elahi, Railway Road, Saddar, Rawalpindi, Pakistan</v>
      </c>
      <c r="K143" s="61" t="str">
        <f>IFERROR(__xludf.DUMMYFUNCTION("""COMPUTED_VALUE"""),"pakistan")</f>
        <v>pakistan</v>
      </c>
      <c r="L143" s="64" t="str">
        <f>IFERROR(__xludf.DUMMYFUNCTION("""COMPUTED_VALUE"""),"14157919805")</f>
        <v>14157919805</v>
      </c>
      <c r="M143" s="64">
        <f>IFERROR(__xludf.DUMMYFUNCTION("""COMPUTED_VALUE"""),38276.0)</f>
        <v>38276</v>
      </c>
      <c r="N143" s="61" t="str">
        <f>IFERROR(__xludf.DUMMYFUNCTION("""COMPUTED_VALUE"""),"JS8679441")</f>
        <v>JS8679441</v>
      </c>
      <c r="O143" s="61" t="str">
        <f>IFERROR(__xludf.DUMMYFUNCTION("""COMPUTED_VALUE"""),"+923345436077")</f>
        <v>+923345436077</v>
      </c>
      <c r="P143" s="65" t="str">
        <f>IFERROR(__xludf.DUMMYFUNCTION("""COMPUTED_VALUE"""),"https://www.linkedin.com/in/hinashahnaz/")</f>
        <v>https://www.linkedin.com/in/hinashahnaz/</v>
      </c>
      <c r="Q143" s="61" t="str">
        <f>IFERROR(__xludf.DUMMYFUNCTION("""COMPUTED_VALUE"""),"hinaama")</f>
        <v>hinaama</v>
      </c>
      <c r="R143" s="61"/>
      <c r="S143" s="61" t="str">
        <f>IFERROR(__xludf.DUMMYFUNCTION("""COMPUTED_VALUE"""),"Passport Photo.pdf")</f>
        <v>Passport Photo.pdf</v>
      </c>
      <c r="T143" s="61" t="str">
        <f>IFERROR(__xludf.DUMMYFUNCTION("""COMPUTED_VALUE"""),"Hina Shahnaz _ EM _ Executive.png")</f>
        <v>Hina Shahnaz _ EM _ Executive.png</v>
      </c>
      <c r="U143" s="61" t="str">
        <f>IFERROR(__xludf.DUMMYFUNCTION("""COMPUTED_VALUE"""),"Bachelors")</f>
        <v>Bachelors</v>
      </c>
      <c r="V143" s="61" t="str">
        <f>IFERROR(__xludf.DUMMYFUNCTION("""COMPUTED_VALUE"""),"BSc Computational Science")</f>
        <v>BSc Computational Science</v>
      </c>
      <c r="W143" s="61" t="str">
        <f>IFERROR(__xludf.DUMMYFUNCTION("""COMPUTED_VALUE"""),"Data Science and Neuro")</f>
        <v>Data Science and Neuro</v>
      </c>
      <c r="X143" s="61" t="str">
        <f>IFERROR(__xludf.DUMMYFUNCTION("""COMPUTED_VALUE"""),"Minerva University")</f>
        <v>Minerva University</v>
      </c>
      <c r="Y143" s="61" t="str">
        <f>IFERROR(__xludf.DUMMYFUNCTION("""COMPUTED_VALUE"""),"Yes")</f>
        <v>Yes</v>
      </c>
      <c r="Z143" s="61" t="str">
        <f>IFERROR(__xludf.DUMMYFUNCTION("""COMPUTED_VALUE"""),"United States")</f>
        <v>United States</v>
      </c>
      <c r="AA143" s="61" t="str">
        <f>IFERROR(__xludf.DUMMYFUNCTION("""COMPUTED_VALUE"""),"No")</f>
        <v>No</v>
      </c>
      <c r="AB143" s="61"/>
      <c r="AC143" s="61" t="str">
        <f>IFERROR(__xludf.DUMMYFUNCTION("""COMPUTED_VALUE"""),"Yes.")</f>
        <v>Yes.</v>
      </c>
      <c r="AD143" s="61" t="str">
        <f>IFERROR(__xludf.DUMMYFUNCTION("""COMPUTED_VALUE"""),"AIESEC in Pakistan")</f>
        <v>AIESEC in Pakistan</v>
      </c>
      <c r="AE143" s="65" t="str">
        <f>IFERROR(__xludf.DUMMYFUNCTION("""COMPUTED_VALUE"""),"https://www.aiesecinpakistan.org/")</f>
        <v>https://www.aiesecinpakistan.org/</v>
      </c>
      <c r="AF143" s="61" t="str">
        <f>IFERROR(__xludf.DUMMYFUNCTION("""COMPUTED_VALUE"""),"TEAM LEAD FOR INCOMING GLOBAL VOLUNTEERS")</f>
        <v>TEAM LEAD FOR INCOMING GLOBAL VOLUNTEERS</v>
      </c>
      <c r="AG143" s="61" t="str">
        <f>IFERROR(__xludf.DUMMYFUNCTION("""COMPUTED_VALUE"""),"1")</f>
        <v>1</v>
      </c>
      <c r="AH143" s="61" t="str">
        <f>IFERROR(__xludf.DUMMYFUNCTION("""COMPUTED_VALUE"""),"No")</f>
        <v>No</v>
      </c>
      <c r="AI143" s="61"/>
      <c r="AJ143" s="61" t="str">
        <f>IFERROR(__xludf.DUMMYFUNCTION("""COMPUTED_VALUE"""),"NomadiCanvas")</f>
        <v>NomadiCanvas</v>
      </c>
      <c r="AK143" s="61" t="str">
        <f>IFERROR(__xludf.DUMMYFUNCTION("""COMPUTED_VALUE"""),"It's a student initiative using art-based storytelling to foster community wellbeing and cross-cultural connection. We designed and facilitated 4 workshops, averaging 30+ attendees and managed the end-to-end logistics and community channels across San Fra"&amp;"ncisco.")</f>
        <v>It's a student initiative using art-based storytelling to foster community wellbeing and cross-cultural connection. We designed and facilitated 4 workshops, averaging 30+ attendees and managed the end-to-end logistics and community channels across San Francisco.</v>
      </c>
      <c r="AL143" s="61" t="str">
        <f>IFERROR(__xludf.DUMMYFUNCTION("""COMPUTED_VALUE"""),"Skilled in public diplomacy, cross-cultural communication, and negotiation, with hands-on experience in research design and ethnographic fieldwork. Strong communicator with a background in public speaking, content creation, and social media strategy. Prof"&amp;"icient in Canva, CapCut, Excel, Google Workspace, and Python. Fluent in English, Urdu")</f>
        <v>Skilled in public diplomacy, cross-cultural communication, and negotiation, with hands-on experience in research design and ethnographic fieldwork. Strong communicator with a background in public speaking, content creation, and social media strategy. Proficient in Canva, CapCut, Excel, Google Workspace, and Python. Fluent in English, Urdu</v>
      </c>
      <c r="AM143" s="61" t="str">
        <f>IFERROR(__xludf.DUMMYFUNCTION("""COMPUTED_VALUE"""),"Hina_Shahnaz_YPDS_Resume.pdf")</f>
        <v>Hina_Shahnaz_YPDS_Resume.pdf</v>
      </c>
      <c r="AN143" s="61" t="str">
        <f>IFERROR(__xludf.DUMMYFUNCTION("""COMPUTED_VALUE"""),"I have often thought about changing the world, and I try to act on it in small, consistent ways. In my gap year after A-Levels, I was inspired to direct a documentary on transgender (Khawaja Sira) communities across the twin cities, researching how they w"&amp;"ere treated in society. I later used that experience to educate students back at my high school. I stay conscious of my surroundings and speak up for what's right, believing every small step matters. In San Francisco, noticing how consumed people were by "&amp;"AI and social media, I started an art gathering where people put phones away and connected authentically across cultures.")</f>
        <v>I have often thought about changing the world, and I try to act on it in small, consistent ways. In my gap year after A-Levels, I was inspired to direct a documentary on transgender (Khawaja Sira) communities across the twin cities, researching how they were treated in society. I later used that experience to educate students back at my high school. I stay conscious of my surroundings and speak up for what's right, believing every small step matters. In San Francisco, noticing how consumed people were by AI and social media, I started an art gathering where people put phones away and connected authentically across cultures.</v>
      </c>
      <c r="AO143" s="61" t="str">
        <f>IFERROR(__xludf.DUMMYFUNCTION("""COMPUTED_VALUE"""),"Having lived in the United States for a year, I've come to see how significant and complicated its diplomatic influence is. We often idealize Western ideals like American feminism, but living here reveals the country's own unresolved issues. Because the U"&amp;".S. is powerful and geographically distant from regions like the Middle East, its impact is felt intensely abroad, while its own internal problems, including crime, drugs, and human rights violations, receive far less scrutiny. This contrast makes the U.S"&amp;". diplomatically significant: it has mastered projecting moral authority outward while deflecting attention from comparable issues at home.")</f>
        <v>Having lived in the United States for a year, I've come to see how significant and complicated its diplomatic influence is. We often idealize Western ideals like American feminism, but living here reveals the country's own unresolved issues. Because the U.S. is powerful and geographically distant from regions like the Middle East, its impact is felt intensely abroad, while its own internal problems, including crime, drugs, and human rights violations, receive far less scrutiny. This contrast makes the U.S. diplomatically significant: it has mastered projecting moral authority outward while deflecting attention from comparable issues at home.</v>
      </c>
      <c r="AP143" s="61" t="str">
        <f>IFERROR(__xludf.DUMMYFUNCTION("""COMPUTED_VALUE"""),"I believe the youth's biggest role in diplomacy is awareness; learning to critically filter the media we consume and distinguish credible information from noise. Diplomacy, at its core, is about bridging gaps between nations, cultures, and people who may "&amp;"never directly meet. Public diplomacy, to me, is this awareness in action: understanding global events, recognizing which actors and agencies are shaping them, and using that understanding to build connections rather than division.
I relate to this deepl"&amp;"y through my own work. Directing a documentary on marginalized communities in Pakistan taught me that storytelling can carry a sort of diplomatic weight; it builds empathy across boundaries that formal negotiation often can't reach. Leading cross-cultural"&amp;" volunteer teams through AIESEC reinforced that youth are uniquely positioned to engage across borders without the baggage of institutional politics. I see public diplomacy not just as government-to-government dialogue, but as everyday acts: creating spac"&amp;"es for honest conversation, using art and film to humanize distant issues, and staying informed enough to challenge narratives that might oversimplify complex realities.")</f>
        <v>I believe the youth's biggest role in diplomacy is awareness; learning to critically filter the media we consume and distinguish credible information from noise. Diplomacy, at its core, is about bridging gaps between nations, cultures, and people who may never directly meet. Public diplomacy, to me, is this awareness in action: understanding global events, recognizing which actors and agencies are shaping them, and using that understanding to build connections rather than division.
I relate to this deeply through my own work. Directing a documentary on marginalized communities in Pakistan taught me that storytelling can carry a sort of diplomatic weight; it builds empathy across boundaries that formal negotiation often can't reach. Leading cross-cultural volunteer teams through AIESEC reinforced that youth are uniquely positioned to engage across borders without the baggage of institutional politics. I see public diplomacy not just as government-to-government dialogue, but as everyday acts: creating spaces for honest conversation, using art and film to humanize distant issues, and staying informed enough to challenge narratives that might oversimplify complex realities.</v>
      </c>
      <c r="AQ143" s="61" t="str">
        <f>IFERROR(__xludf.DUMMYFUNCTION("""COMPUTED_VALUE"""),"Passion, to me, is the ambition that burns inside you, something that inspires you to never give up, to keep moving forward, keep hustling, and keep looking for ideas, for people, and for conversations where you're truly heard, challenged, and asked for m"&amp;"ore of your thoughts and contributions. It's this drive that carries you toward your goals, because there is no straight path to what you want, and no fixed direction either.
Passion is like a glowing light in the darkness that keeps you moving forward. "&amp;"As you move, the path might zigzag, but the light never stops burning. It keeps you grounded and steady, even through uncertainty, and it's what ultimately carries you toward your goals. Goals themselves aren't fixed either; they keep reshaping and reiter"&amp;"ating as you go through different experiences and interactions along the way.")</f>
        <v>Passion, to me, is the ambition that burns inside you, something that inspires you to never give up, to keep moving forward, keep hustling, and keep looking for ideas, for people, and for conversations where you're truly heard, challenged, and asked for more of your thoughts and contributions. It's this drive that carries you toward your goals, because there is no straight path to what you want, and no fixed direction either.
Passion is like a glowing light in the darkness that keeps you moving forward. As you move, the path might zigzag, but the light never stops burning. It keeps you grounded and steady, even through uncertainty, and it's what ultimately carries you toward your goals. Goals themselves aren't fixed either; they keep reshaping and reiterating as you go through different experiences and interactions along the way.</v>
      </c>
      <c r="AR143" s="61" t="str">
        <f>IFERROR(__xludf.DUMMYFUNCTION("""COMPUTED_VALUE"""),"I consider myself a creative person, and I believe creativity is essential to effective public diplomacy; dialogue alone is often too limited a tool. Art and film carry ideas across language and cultural barriers in ways formal conversation cannot. When p"&amp;"eople connect over something they genuinely love, a film, a piece of art, a shared story, ideas flow more freely, tolerance deepens, and understanding becomes personal rather than abstract.
An effective public diplomacy strategy, to me, reaches people em"&amp;"otionally before it reaches them intellectually, something that resonates on a human level and makes them feel understood, not lectured. This is the principle behind the art gathering I started in San Francisco: stripping away screens and formality so peo"&amp;"ple could connect authentically across cultures. I see creativity as a bridge-building tool in diplomacy; it doesn't just inform people about other cultures; it lets them feel a genuine, cross-border connection to those cultures.")</f>
        <v>I consider myself a creative person, and I believe creativity is essential to effective public diplomacy; dialogue alone is often too limited a tool. Art and film carry ideas across language and cultural barriers in ways formal conversation cannot. When people connect over something they genuinely love, a film, a piece of art, a shared story, ideas flow more freely, tolerance deepens, and understanding becomes personal rather than abstract.
An effective public diplomacy strategy, to me, reaches people emotionally before it reaches them intellectually, something that resonates on a human level and makes them feel understood, not lectured. This is the principle behind the art gathering I started in San Francisco: stripping away screens and formality so people could connect authentically across cultures. I see creativity as a bridge-building tool in diplomacy; it doesn't just inform people about other cultures; it lets them feel a genuine, cross-border connection to those cultures.</v>
      </c>
      <c r="AS143" s="61" t="str">
        <f>IFERROR(__xludf.DUMMYFUNCTION("""COMPUTED_VALUE"""),"Yes")</f>
        <v>Yes</v>
      </c>
      <c r="AT143" s="61" t="str">
        <f>IFERROR(__xludf.DUMMYFUNCTION("""COMPUTED_VALUE"""),"No")</f>
        <v>No</v>
      </c>
      <c r="AU143" s="61" t="str">
        <f>IFERROR(__xludf.DUMMYFUNCTION("""COMPUTED_VALUE"""),"Strategy, Peace &amp; Cultural Diplomacy")</f>
        <v>Strategy, Peace &amp; Cultural Diplomacy</v>
      </c>
      <c r="AV143" s="61" t="str">
        <f>IFERROR(__xludf.DUMMYFUNCTION("""COMPUTED_VALUE"""),"Through Hassan Mehr's intagram. I previously worked with him in Lincoln Corners and then i noticed that he's hosting conferences across the world with CSD.")</f>
        <v>Through Hassan Mehr's intagram. I previously worked with him in Lincoln Corners and then i noticed that he's hosting conferences across the world with CSD.</v>
      </c>
      <c r="AW143" s="61"/>
      <c r="AX143" s="66" t="str">
        <f>IFERROR(__xludf.DUMMYFUNCTION("""COMPUTED_VALUE"""),"Yes")</f>
        <v>Yes</v>
      </c>
      <c r="AY143" s="66">
        <f>IFERROR(__xludf.DUMMYFUNCTION("""COMPUTED_VALUE"""),15.99)</f>
        <v>15.99</v>
      </c>
      <c r="AZ143" s="61"/>
      <c r="BA143" s="61"/>
      <c r="BB143" s="61"/>
      <c r="BC143" s="61"/>
      <c r="BD143" s="61"/>
      <c r="BE143" s="61"/>
      <c r="BF143" s="61"/>
      <c r="BG143" s="61"/>
      <c r="BH143" s="61"/>
      <c r="BI143" s="61"/>
      <c r="BJ143" s="61"/>
      <c r="BK143" s="61"/>
      <c r="BL143" s="61"/>
      <c r="BM143" s="61"/>
      <c r="BN143" s="61"/>
      <c r="BO143" s="61"/>
      <c r="BP143" s="61"/>
      <c r="BQ143" s="61"/>
      <c r="BR143" s="61"/>
    </row>
    <row r="144" ht="15.75" customHeight="1">
      <c r="A144" s="61" t="str">
        <f>IFERROR(__xludf.DUMMYFUNCTION("""COMPUTED_VALUE"""),"Self")</f>
        <v>Self</v>
      </c>
      <c r="B144" s="62">
        <f>IFERROR(__xludf.DUMMYFUNCTION("""COMPUTED_VALUE"""),169.0)</f>
        <v>169</v>
      </c>
      <c r="C144" s="61" t="str">
        <f>IFERROR(__xludf.DUMMYFUNCTION("""COMPUTED_VALUE"""),"Self")</f>
        <v>Self</v>
      </c>
      <c r="D144" s="63" t="str">
        <f>IFERROR(__xludf.DUMMYFUNCTION("""COMPUTED_VALUE"""),"Submitted")</f>
        <v>Submitted</v>
      </c>
      <c r="E144" s="63">
        <f>IFERROR(__xludf.DUMMYFUNCTION("""COMPUTED_VALUE"""),46209.43402777778)</f>
        <v>46209.43403</v>
      </c>
      <c r="F144" s="61" t="str">
        <f>IFERROR(__xludf.DUMMYFUNCTION("""COMPUTED_VALUE"""),"Vothana Horng")</f>
        <v>Vothana Horng</v>
      </c>
      <c r="G144" s="61" t="str">
        <f>IFERROR(__xludf.DUMMYFUNCTION("""COMPUTED_VALUE"""),"vothana horng")</f>
        <v>vothana horng</v>
      </c>
      <c r="H144" s="61" t="str">
        <f>IFERROR(__xludf.DUMMYFUNCTION("""COMPUTED_VALUE"""),"vothanahorng7@gmail.com")</f>
        <v>vothanahorng7@gmail.com</v>
      </c>
      <c r="I144" s="61" t="str">
        <f>IFERROR(__xludf.DUMMYFUNCTION("""COMPUTED_VALUE"""),"Nimhor@gmail.com")</f>
        <v>Nimhor@gmail.com</v>
      </c>
      <c r="J144" s="61" t="str">
        <f>IFERROR(__xludf.DUMMYFUNCTION("""COMPUTED_VALUE"""),"HV75+43R, Phnom Penh, Cambodia")</f>
        <v>HV75+43R, Phnom Penh, Cambodia</v>
      </c>
      <c r="K144" s="61" t="str">
        <f>IFERROR(__xludf.DUMMYFUNCTION("""COMPUTED_VALUE"""),"Cambodia")</f>
        <v>Cambodia</v>
      </c>
      <c r="L144" s="64" t="str">
        <f>IFERROR(__xludf.DUMMYFUNCTION("""COMPUTED_VALUE"""),"+855885170058")</f>
        <v>+855885170058</v>
      </c>
      <c r="M144" s="64">
        <f>IFERROR(__xludf.DUMMYFUNCTION("""COMPUTED_VALUE"""),37981.0)</f>
        <v>37981</v>
      </c>
      <c r="N144" s="61" t="str">
        <f>IFERROR(__xludf.DUMMYFUNCTION("""COMPUTED_VALUE"""),"N02518214")</f>
        <v>N02518214</v>
      </c>
      <c r="O144" s="61" t="str">
        <f>IFERROR(__xludf.DUMMYFUNCTION("""COMPUTED_VALUE"""),"+85517425365")</f>
        <v>+85517425365</v>
      </c>
      <c r="P144" s="67" t="str">
        <f>IFERROR(__xludf.DUMMYFUNCTION("""COMPUTED_VALUE"""),"www.linkedin.com/in/vothana-horng-669639323")</f>
        <v>www.linkedin.com/in/vothana-horng-669639323</v>
      </c>
      <c r="Q144" s="65" t="str">
        <f>IFERROR(__xludf.DUMMYFUNCTION("""COMPUTED_VALUE"""),"https://www.instagram.com/isthatooobvious?igsh=ZWc5cDU5dGl0M3Bs&amp;utm_source=qr")</f>
        <v>https://www.instagram.com/isthatooobvious?igsh=ZWc5cDU5dGl0M3Bs&amp;utm_source=qr</v>
      </c>
      <c r="R144" s="65" t="str">
        <f>IFERROR(__xludf.DUMMYFUNCTION("""COMPUTED_VALUE"""),"https://www.facebook.com/share/17iwCNTwhb/?mibextid=wwXIfr")</f>
        <v>https://www.facebook.com/share/17iwCNTwhb/?mibextid=wwXIfr</v>
      </c>
      <c r="S144" s="61" t="str">
        <f>IFERROR(__xludf.DUMMYFUNCTION("""COMPUTED_VALUE"""),"IMG_8239.JPG")</f>
        <v>IMG_8239.JPG</v>
      </c>
      <c r="T144" s="61" t="str">
        <f>IFERROR(__xludf.DUMMYFUNCTION("""COMPUTED_VALUE"""),"photo_2025-03-27_09-06-26.jpg")</f>
        <v>photo_2025-03-27_09-06-26.jpg</v>
      </c>
      <c r="U144" s="61" t="str">
        <f>IFERROR(__xludf.DUMMYFUNCTION("""COMPUTED_VALUE"""),"Bechelor")</f>
        <v>Bechelor</v>
      </c>
      <c r="V144" s="61" t="str">
        <f>IFERROR(__xludf.DUMMYFUNCTION("""COMPUTED_VALUE"""),"Bachelor of Arts (BA)")</f>
        <v>Bachelor of Arts (BA)</v>
      </c>
      <c r="W144" s="61" t="str">
        <f>IFERROR(__xludf.DUMMYFUNCTION("""COMPUTED_VALUE"""),"International Relations")</f>
        <v>International Relations</v>
      </c>
      <c r="X144" s="61" t="str">
        <f>IFERROR(__xludf.DUMMYFUNCTION("""COMPUTED_VALUE"""),"University of Cambodia")</f>
        <v>University of Cambodia</v>
      </c>
      <c r="Y144" s="61" t="str">
        <f>IFERROR(__xludf.DUMMYFUNCTION("""COMPUTED_VALUE"""),"Yes")</f>
        <v>Yes</v>
      </c>
      <c r="Z144" s="61" t="str">
        <f>IFERROR(__xludf.DUMMYFUNCTION("""COMPUTED_VALUE"""),"Cambodia")</f>
        <v>Cambodia</v>
      </c>
      <c r="AA144" s="61" t="str">
        <f>IFERROR(__xludf.DUMMYFUNCTION("""COMPUTED_VALUE"""),"Yes")</f>
        <v>Yes</v>
      </c>
      <c r="AB144" s="61" t="str">
        <f>IFERROR(__xludf.DUMMYFUNCTION("""COMPUTED_VALUE"""),"National University of Singapore")</f>
        <v>National University of Singapore</v>
      </c>
      <c r="AC144" s="61" t="str">
        <f>IFERROR(__xludf.DUMMYFUNCTION("""COMPUTED_VALUE"""),"yes")</f>
        <v>yes</v>
      </c>
      <c r="AD144" s="61" t="str">
        <f>IFERROR(__xludf.DUMMYFUNCTION("""COMPUTED_VALUE"""),"Yes (Global Peace Foundation Cambodia, and JCI Neak Poan)")</f>
        <v>Yes (Global Peace Foundation Cambodia, and JCI Neak Poan)</v>
      </c>
      <c r="AE144" s="65" t="str">
        <f>IFERROR(__xludf.DUMMYFUNCTION("""COMPUTED_VALUE"""),"https://jcicambodia.cc/home?fbclid=IwY2xjawS4FGRleHRuA2FlbQIxMABicmlkETFxdk80TzNLaGMwM1NzZHl4c3J0YwZhcHBfaWQQMjIyMDM5MTc4ODIwMDg5MgABHjedrfVp6QTEY-ADNEZYxkG-ddQnR-4zl06qon3lVVnTBLRCJyLHYJuK-")</f>
        <v>https://jcicambodia.cc/home?fbclid=IwY2xjawS4FGRleHRuA2FlbQIxMABicmlkETFxdk80TzNLaGMwM1NzZHl4c3J0YwZhcHBfaWQQMjIyMDM5MTc4ODIwMDg5MgABHjedrfVp6QTEY-ADNEZYxkG-ddQnR-4zl06qon3lVVnTBLRCJyLHYJuK-</v>
      </c>
      <c r="AF144" s="61" t="str">
        <f>IFERROR(__xludf.DUMMYFUNCTION("""COMPUTED_VALUE"""),"Moderator and Registration Team, and Graphic Design &amp; Public Relations (Mental Health Project, 2025)")</f>
        <v>Moderator and Registration Team, and Graphic Design &amp; Public Relations (Mental Health Project, 2025)</v>
      </c>
      <c r="AG144" s="61" t="str">
        <f>IFERROR(__xludf.DUMMYFUNCTION("""COMPUTED_VALUE"""),"2023 and 2025")</f>
        <v>2023 and 2025</v>
      </c>
      <c r="AH144" s="61" t="str">
        <f>IFERROR(__xludf.DUMMYFUNCTION("""COMPUTED_VALUE"""),"Yes")</f>
        <v>Yes</v>
      </c>
      <c r="AI144" s="61" t="str">
        <f>IFERROR(__xludf.DUMMYFUNCTION("""COMPUTED_VALUE"""),"Newsletter Writer in International Relation field (Part time job)")</f>
        <v>Newsletter Writer in International Relation field (Part time job)</v>
      </c>
      <c r="AJ144" s="61" t="str">
        <f>IFERROR(__xludf.DUMMYFUNCTION("""COMPUTED_VALUE"""),"No")</f>
        <v>No</v>
      </c>
      <c r="AK144" s="61"/>
      <c r="AL144" s="61" t="str">
        <f>IFERROR(__xludf.DUMMYFUNCTION("""COMPUTED_VALUE"""),"Writer, Researcher, Communication, and Management")</f>
        <v>Writer, Researcher, Communication, and Management</v>
      </c>
      <c r="AM144" s="61" t="str">
        <f>IFERROR(__xludf.DUMMYFUNCTION("""COMPUTED_VALUE"""),"Horng Vothana’s CV  (2).pdf")</f>
        <v>Horng Vothana’s CV  (2).pdf</v>
      </c>
      <c r="AN144" s="61" t="str">
        <f>IFERROR(__xludf.DUMMYFUNCTION("""COMPUTED_VALUE"""),"Yes, I have always believed in the power of small actions to create meaningful change. I volunteered with local community projects focused on education and environmental awareness, helping organize workshops and campaigns to promote sustainability. Additi"&amp;"onally, I actively participate in youth forums where I advocate for social justice and inclusive growth. These experiences have strengthened my commitment to contributing positively to society. I understand that change starts with individual efforts, and "&amp;"I strive to lead by example, inspiring others to take action and create a ripple effect of positive impact within their communities.")</f>
        <v>Yes, I have always believed in the power of small actions to create meaningful change. I volunteered with local community projects focused on education and environmental awareness, helping organize workshops and campaigns to promote sustainability. Additionally, I actively participate in youth forums where I advocate for social justice and inclusive growth. These experiences have strengthened my commitment to contributing positively to society. I understand that change starts with individual efforts, and I strive to lead by example, inspiring others to take action and create a ripple effect of positive impact within their communities.</v>
      </c>
      <c r="AO144" s="61" t="str">
        <f>IFERROR(__xludf.DUMMYFUNCTION("""COMPUTED_VALUE"""),"In my opinion, I believe China is one of the most diplomatically significant countries in the world today. As a global economic powerhouse and a permanent member of the UN Security Council, China plays a crucial role in shaping international relations, tr"&amp;"ade policies, and regional security. Currently, its Belt and Road Initiative has reconnected countries across Asia, Africa, and Europe, reshaping global infrastructure and economic partnerships. For Cambodia, China has become an essential strategic partne"&amp;"r in development and investment till now.  I believe China's growing role in world affairs makes it essential for us to understand its policies and approach. As a student of International Relations, I find China's diplomatic strategies fascinating because"&amp;" they affect Southeast Asia directly.")</f>
        <v>In my opinion, I believe China is one of the most diplomatically significant countries in the world today. As a global economic powerhouse and a permanent member of the UN Security Council, China plays a crucial role in shaping international relations, trade policies, and regional security. Currently, its Belt and Road Initiative has reconnected countries across Asia, Africa, and Europe, reshaping global infrastructure and economic partnerships. For Cambodia, China has become an essential strategic partner in development and investment till now.  I believe China's growing role in world affairs makes it essential for us to understand its policies and approach. As a student of International Relations, I find China's diplomatic strategies fascinating because they affect Southeast Asia directly.</v>
      </c>
      <c r="AP144" s="61" t="str">
        <f>IFERROR(__xludf.DUMMYFUNCTION("""COMPUTED_VALUE"""),"In today's interconnected world, young people bring fresh perspectives, digital literacy, and innovative approaches to international relations that older generations may overlook. We are like a bridge, fluent in cross-cultural communication and passionate"&amp;" about issues like climate change, sustainable development, and social justice. For me, youth diplomacy means engaging directly with peers from different countries, challenging stereotypes, and fostering mutual understanding through exchanges and dialogue"&amp;".
Furthermore, public diplomacy is about connecting with people rather than just governments. It involves sharing stories, cultural values, and shared aspirations to build trust between nations. As a student of International Relations, I have already eng"&amp;"aged in public diplomacy through my participation in the fully funded student conference at the National University of Singapore, where I exchanged ideas with young leaders from across Asia about sustainability and regenerative development. I also joined "&amp;"the Phnom Penh Strategic Dialogue organized by CICP, which deepened my understanding of ASEAN's role in regional order.
Young people are uniquely positioned to practice public diplomacy through social media, cultural exchange, and grassroots initiatives."&amp;" We can humanize international relations by showing that diplomacy is not just about treaties and negotiations, but about people understanding each other. I believe that by actively participating in conferences, workshops, and collaborative projects, I am"&amp;" already contributing to this people-centered approach to diplomacy.")</f>
        <v>In today's interconnected world, young people bring fresh perspectives, digital literacy, and innovative approaches to international relations that older generations may overlook. We are like a bridge, fluent in cross-cultural communication and passionate about issues like climate change, sustainable development, and social justice. For me, youth diplomacy means engaging directly with peers from different countries, challenging stereotypes, and fostering mutual understanding through exchanges and dialogue.
Furthermore, public diplomacy is about connecting with people rather than just governments. It involves sharing stories, cultural values, and shared aspirations to build trust between nations. As a student of International Relations, I have already engaged in public diplomacy through my participation in the fully funded student conference at the National University of Singapore, where I exchanged ideas with young leaders from across Asia about sustainability and regenerative development. I also joined the Phnom Penh Strategic Dialogue organized by CICP, which deepened my understanding of ASEAN's role in regional order.
Young people are uniquely positioned to practice public diplomacy through social media, cultural exchange, and grassroots initiatives. We can humanize international relations by showing that diplomacy is not just about treaties and negotiations, but about people understanding each other. I believe that by actively participating in conferences, workshops, and collaborative projects, I am already contributing to this people-centered approach to diplomacy.</v>
      </c>
      <c r="AQ144" s="61" t="str">
        <f>IFERROR(__xludf.DUMMYFUNCTION("""COMPUTED_VALUE"""),"Passion is the strong interest and excitement a person has for something they truly care about. It gives us the energy to keep working, even when things become difficult. I believe passion helps people stay focused and never give up on their dreams.
For "&amp;"me, passion means always being willing to learn, improve, and take on new challenges. When I am passionate about a goal, I enjoy the process of reaching it instead of only thinking about the final result. It also gives me confidence to step out of my comf"&amp;"ort zone and try new opportunities.
I believe that success comes from both hard work and passion. And passion keeps me motivated, helps me learn from my mistakes, and reminds me why I started. It encourages me to keep moving forward and become a better p"&amp;"erson while working toward my personal and professional goals.")</f>
        <v>Passion is the strong interest and excitement a person has for something they truly care about. It gives us the energy to keep working, even when things become difficult. I believe passion helps people stay focused and never give up on their dreams.
For me, passion means always being willing to learn, improve, and take on new challenges. When I am passionate about a goal, I enjoy the process of reaching it instead of only thinking about the final result. It also gives me confidence to step out of my comfort zone and try new opportunities.
I believe that success comes from both hard work and passion. And passion keeps me motivated, helps me learn from my mistakes, and reminds me why I started. It encourages me to keep moving forward and become a better person while working toward my personal and professional goals.</v>
      </c>
      <c r="AR144" s="61" t="str">
        <f>IFERROR(__xludf.DUMMYFUNCTION("""COMPUTED_VALUE"""),"Yes, I believe I am a creative person. I enjoy thinking of new ideas and finding simple ways to solve problems. I also like working with people from different backgrounds and learning about their cultures and traditions.
I think creativity is very useful"&amp;" in public diplomacy because it helps people understand each other better. For example, we can use social media, short videos, cultural events, art, music, and storytelling to share our country's culture and learn about others. These activities make commu"&amp;"nication more interesting and help build friendships between people from different countries.
If I have the chance, I would create projects where young people can share their ideas, traditions, and experiences. This can help reduce misunderstandings and "&amp;"encourage respect for different cultures. I also believe that listening to others is an important part of creativity because it helps us understand different points of view.
In my opinion, a good public diplomacy strategy should be simple, honest, and we"&amp;"lcoming. Furthermore, by using creative ideas and open communication, we can build trust, strengthen international friendships, and promote peace and cooperation among people from different cultures.")</f>
        <v>Yes, I believe I am a creative person. I enjoy thinking of new ideas and finding simple ways to solve problems. I also like working with people from different backgrounds and learning about their cultures and traditions.
I think creativity is very useful in public diplomacy because it helps people understand each other better. For example, we can use social media, short videos, cultural events, art, music, and storytelling to share our country's culture and learn about others. These activities make communication more interesting and help build friendships between people from different countries.
If I have the chance, I would create projects where young people can share their ideas, traditions, and experiences. This can help reduce misunderstandings and encourage respect for different cultures. I also believe that listening to others is an important part of creativity because it helps us understand different points of view.
In my opinion, a good public diplomacy strategy should be simple, honest, and welcoming. Furthermore, by using creative ideas and open communication, we can build trust, strengthen international friendships, and promote peace and cooperation among people from different cultures.</v>
      </c>
      <c r="AS144" s="61" t="str">
        <f>IFERROR(__xludf.DUMMYFUNCTION("""COMPUTED_VALUE"""),"Yes")</f>
        <v>Yes</v>
      </c>
      <c r="AT144" s="61" t="str">
        <f>IFERROR(__xludf.DUMMYFUNCTION("""COMPUTED_VALUE"""),"Yes")</f>
        <v>Yes</v>
      </c>
      <c r="AU144" s="61" t="str">
        <f>IFERROR(__xludf.DUMMYFUNCTION("""COMPUTED_VALUE"""),"Global Politics, Diplomacy &amp; Identities")</f>
        <v>Global Politics, Diplomacy &amp; Identities</v>
      </c>
      <c r="AV144" s="61" t="str">
        <f>IFERROR(__xludf.DUMMYFUNCTION("""COMPUTED_VALUE"""),"google search")</f>
        <v>google search</v>
      </c>
      <c r="AW144" s="61" t="str">
        <f>IFERROR(__xludf.DUMMYFUNCTION("""COMPUTED_VALUE"""),"Public and Cultural Diplomacy, and Strategic Communication")</f>
        <v>Public and Cultural Diplomacy, and Strategic Communication</v>
      </c>
      <c r="AX144" s="66" t="str">
        <f>IFERROR(__xludf.DUMMYFUNCTION("""COMPUTED_VALUE"""),"Yes")</f>
        <v>Yes</v>
      </c>
      <c r="AY144" s="66">
        <f>IFERROR(__xludf.DUMMYFUNCTION("""COMPUTED_VALUE"""),15.99)</f>
        <v>15.99</v>
      </c>
      <c r="AZ144" s="61"/>
      <c r="BA144" s="61"/>
      <c r="BB144" s="61"/>
      <c r="BC144" s="61"/>
      <c r="BD144" s="61"/>
      <c r="BE144" s="61"/>
      <c r="BF144" s="61"/>
      <c r="BG144" s="61"/>
      <c r="BH144" s="61"/>
      <c r="BI144" s="61"/>
      <c r="BJ144" s="61"/>
      <c r="BK144" s="61"/>
      <c r="BL144" s="61"/>
      <c r="BM144" s="61"/>
      <c r="BN144" s="61"/>
      <c r="BO144" s="61"/>
      <c r="BP144" s="61"/>
      <c r="BQ144" s="61"/>
      <c r="BR144" s="61"/>
    </row>
    <row r="145" ht="15.75" customHeight="1">
      <c r="A145" s="61" t="str">
        <f>IFERROR(__xludf.DUMMYFUNCTION("""COMPUTED_VALUE"""),"Partial")</f>
        <v>Partial</v>
      </c>
      <c r="B145" s="62">
        <f>IFERROR(__xludf.DUMMYFUNCTION("""COMPUTED_VALUE"""),170.0)</f>
        <v>170</v>
      </c>
      <c r="C145" s="61" t="str">
        <f>IFERROR(__xludf.DUMMYFUNCTION("""COMPUTED_VALUE"""),"Partial")</f>
        <v>Partial</v>
      </c>
      <c r="D145" s="63" t="str">
        <f>IFERROR(__xludf.DUMMYFUNCTION("""COMPUTED_VALUE"""),"Submitted")</f>
        <v>Submitted</v>
      </c>
      <c r="E145" s="63">
        <f>IFERROR(__xludf.DUMMYFUNCTION("""COMPUTED_VALUE"""),46210.60972222222)</f>
        <v>46210.60972</v>
      </c>
      <c r="F145" s="61" t="str">
        <f>IFERROR(__xludf.DUMMYFUNCTION("""COMPUTED_VALUE"""),"Kohki Enomoto")</f>
        <v>Kohki Enomoto</v>
      </c>
      <c r="G145" s="61" t="str">
        <f>IFERROR(__xludf.DUMMYFUNCTION("""COMPUTED_VALUE"""),"Kohki Enomoto")</f>
        <v>Kohki Enomoto</v>
      </c>
      <c r="H145" s="61" t="str">
        <f>IFERROR(__xludf.DUMMYFUNCTION("""COMPUTED_VALUE"""),"kenomoto1995@gmail.com")</f>
        <v>kenomoto1995@gmail.com</v>
      </c>
      <c r="I145" s="61" t="str">
        <f>IFERROR(__xludf.DUMMYFUNCTION("""COMPUTED_VALUE"""),"botskjikuzone@gmail.com")</f>
        <v>botskjikuzone@gmail.com</v>
      </c>
      <c r="J145" s="61" t="str">
        <f>IFERROR(__xludf.DUMMYFUNCTION("""COMPUTED_VALUE"""),"1-20-11, Nakano, Naknoku, Tokyo, Japan")</f>
        <v>1-20-11, Nakano, Naknoku, Tokyo, Japan</v>
      </c>
      <c r="K145" s="61" t="str">
        <f>IFERROR(__xludf.DUMMYFUNCTION("""COMPUTED_VALUE"""),"Japanese")</f>
        <v>Japanese</v>
      </c>
      <c r="L145" s="64" t="str">
        <f>IFERROR(__xludf.DUMMYFUNCTION("""COMPUTED_VALUE"""),"+818044605648")</f>
        <v>+818044605648</v>
      </c>
      <c r="M145" s="64">
        <f>IFERROR(__xludf.DUMMYFUNCTION("""COMPUTED_VALUE"""),35044.0)</f>
        <v>35044</v>
      </c>
      <c r="N145" s="61" t="str">
        <f>IFERROR(__xludf.DUMMYFUNCTION("""COMPUTED_VALUE"""),"TT2797003")</f>
        <v>TT2797003</v>
      </c>
      <c r="O145" s="61" t="str">
        <f>IFERROR(__xludf.DUMMYFUNCTION("""COMPUTED_VALUE"""),"+81-80-3702-4274")</f>
        <v>+81-80-3702-4274</v>
      </c>
      <c r="P145" s="61"/>
      <c r="Q145" s="61"/>
      <c r="R145" s="61"/>
      <c r="S145" s="61" t="str">
        <f>IFERROR(__xludf.DUMMYFUNCTION("""COMPUTED_VALUE"""),"Passport photo_Kohki Enomoto.jpg")</f>
        <v>Passport photo_Kohki Enomoto.jpg</v>
      </c>
      <c r="T145" s="61" t="str">
        <f>IFERROR(__xludf.DUMMYFUNCTION("""COMPUTED_VALUE"""),"Kohki Enomoto Photo.pdf")</f>
        <v>Kohki Enomoto Photo.pdf</v>
      </c>
      <c r="U145" s="61" t="str">
        <f>IFERROR(__xludf.DUMMYFUNCTION("""COMPUTED_VALUE"""),"Master")</f>
        <v>Master</v>
      </c>
      <c r="V145" s="61" t="str">
        <f>IFERROR(__xludf.DUMMYFUNCTION("""COMPUTED_VALUE"""),"Master in Public Policy")</f>
        <v>Master in Public Policy</v>
      </c>
      <c r="W145" s="61" t="str">
        <f>IFERROR(__xludf.DUMMYFUNCTION("""COMPUTED_VALUE"""),"Public Policy")</f>
        <v>Public Policy</v>
      </c>
      <c r="X145" s="61" t="str">
        <f>IFERROR(__xludf.DUMMYFUNCTION("""COMPUTED_VALUE"""),"Peking University")</f>
        <v>Peking University</v>
      </c>
      <c r="Y145" s="61" t="str">
        <f>IFERROR(__xludf.DUMMYFUNCTION("""COMPUTED_VALUE"""),"No")</f>
        <v>No</v>
      </c>
      <c r="Z145" s="61" t="str">
        <f>IFERROR(__xludf.DUMMYFUNCTION("""COMPUTED_VALUE"""),"China")</f>
        <v>China</v>
      </c>
      <c r="AA145" s="61" t="str">
        <f>IFERROR(__xludf.DUMMYFUNCTION("""COMPUTED_VALUE"""),"Yes")</f>
        <v>Yes</v>
      </c>
      <c r="AB145" s="61" t="str">
        <f>IFERROR(__xludf.DUMMYFUNCTION("""COMPUTED_VALUE"""),"Peking University")</f>
        <v>Peking University</v>
      </c>
      <c r="AC145" s="61" t="str">
        <f>IFERROR(__xludf.DUMMYFUNCTION("""COMPUTED_VALUE"""),"Yes")</f>
        <v>Yes</v>
      </c>
      <c r="AD145" s="61" t="str">
        <f>IFERROR(__xludf.DUMMYFUNCTION("""COMPUTED_VALUE"""),"Royal United Services Institute")</f>
        <v>Royal United Services Institute</v>
      </c>
      <c r="AE145" s="65" t="str">
        <f>IFERROR(__xludf.DUMMYFUNCTION("""COMPUTED_VALUE"""),"https://www.rusi.org/")</f>
        <v>https://www.rusi.org/</v>
      </c>
      <c r="AF145" s="61" t="str">
        <f>IFERROR(__xludf.DUMMYFUNCTION("""COMPUTED_VALUE"""),"Intern")</f>
        <v>Intern</v>
      </c>
      <c r="AG145" s="61" t="str">
        <f>IFERROR(__xludf.DUMMYFUNCTION("""COMPUTED_VALUE"""),"less than 1 year")</f>
        <v>less than 1 year</v>
      </c>
      <c r="AH145" s="61" t="str">
        <f>IFERROR(__xludf.DUMMYFUNCTION("""COMPUTED_VALUE"""),"Yes")</f>
        <v>Yes</v>
      </c>
      <c r="AI145" s="61" t="str">
        <f>IFERROR(__xludf.DUMMYFUNCTION("""COMPUTED_VALUE"""),"Gueat Reasercher and Private fellow")</f>
        <v>Gueat Reasercher and Private fellow</v>
      </c>
      <c r="AJ145" s="61" t="str">
        <f>IFERROR(__xludf.DUMMYFUNCTION("""COMPUTED_VALUE"""),"no")</f>
        <v>no</v>
      </c>
      <c r="AK145" s="61"/>
      <c r="AL145" s="61" t="str">
        <f>IFERROR(__xludf.DUMMYFUNCTION("""COMPUTED_VALUE"""),"Academic Research, Policy Analysis")</f>
        <v>Academic Research, Policy Analysis</v>
      </c>
      <c r="AM145" s="61" t="str">
        <f>IFERROR(__xludf.DUMMYFUNCTION("""COMPUTED_VALUE"""),"Kohki Enomoto_Curriculum vitae.pdf")</f>
        <v>Kohki Enomoto_Curriculum vitae.pdf</v>
      </c>
      <c r="AN145" s="61" t="str">
        <f>IFERROR(__xludf.DUMMYFUNCTION("""COMPUTED_VALUE"""),"I believe changing the world starts with preventing conflicts that destabilize it. Recognizing the growing threat of cognitive warfare, I committed myself to enhancing Indo-Pacific security. In my personal capacity, I transitioned from the Japanese Minist"&amp;"ry of Foreign Affairs and Nomura Securities to independent research in Taiwan and Japan. By publishing analyses on cross-strait dynamics and a potential Taiwan contingency, I strive to bridge academic theory and practical statecraft. Additionally, I rigor"&amp;"ously study English and Chinese to foster objective, cross-cultural dialogues, aiming to replace misinformation with mutual understanding and peace.")</f>
        <v>I believe changing the world starts with preventing conflicts that destabilize it. Recognizing the growing threat of cognitive warfare, I committed myself to enhancing Indo-Pacific security. In my personal capacity, I transitioned from the Japanese Ministry of Foreign Affairs and Nomura Securities to independent research in Taiwan and Japan. By publishing analyses on cross-strait dynamics and a potential Taiwan contingency, I strive to bridge academic theory and practical statecraft. Additionally, I rigorously study English and Chinese to foster objective, cross-cultural dialogues, aiming to replace misinformation with mutual understanding and peace.</v>
      </c>
      <c r="AO145" s="61" t="str">
        <f>IFERROR(__xludf.DUMMYFUNCTION("""COMPUTED_VALUE"""),"I believe Japan is currently one of the most diplomatically significant countries in the world. Positioned at the strategic crossroads of the Indo-Pacific, Japan serves as a critical linchpin for regional stability and democratic alliances. Amidst rising "&amp;"geopolitical tensions and the growing threat of cognitive warfare, Japan's proactive diplomacy is essential in preventing a Taiwan contingency. By bridging Western security frameworks with Asian economic realities, Tokyo plays a unique, stabilizing role. "&amp;"Furthermore, Japan's evolution from a pacifist economic powerhouse to a primary stakeholder in global security makes its diplomatic maneuvers pivotal for maintaining the rules-based international order.")</f>
        <v>I believe Japan is currently one of the most diplomatically significant countries in the world. Positioned at the strategic crossroads of the Indo-Pacific, Japan serves as a critical linchpin for regional stability and democratic alliances. Amidst rising geopolitical tensions and the growing threat of cognitive warfare, Japan's proactive diplomacy is essential in preventing a Taiwan contingency. By bridging Western security frameworks with Asian economic realities, Tokyo plays a unique, stabilizing role. Furthermore, Japan's evolution from a pacifist economic powerhouse to a primary stakeholder in global security makes its diplomatic maneuvers pivotal for maintaining the rules-based international order.</v>
      </c>
      <c r="AP145" s="61" t="str">
        <f>IFERROR(__xludf.DUMMYFUNCTION("""COMPUTED_VALUE"""),"Traditional diplomacy often struggles to keep pace with modern hybrid threats. Today, the youth’s role in diplomacy is to act as agile, digital-native ambassadors who build genuine, grassroots networks. Youth can foster cross-cultural trust and counter th"&amp;"e rapid spread of misinformation—particularly in the realm of cognitive warfare—where official state channels are often restricted or too slow to react.
My connection to Public Diplomacy stems directly from my career trajectory. Having worked at the Japa"&amp;"nese Ministry of Foreign Affairs, I understand the rigidities of formal statecraft. I view Public Diplomacy as the essential bridge connecting government policy with civil society. Now, as a researcher stationed between Taiwan and Japan focusing on Indo-P"&amp;"acific security, my daily work is fundamentally an exercise in public diplomacy.
I analyze cognitive operations and share these insights to build societal resilience against manipulation. Furthermore, I am rigorously advancing my English and Chinese prof"&amp;"iciency to facilitate direct, objective dialogues between diverse populations. To me, public diplomacy is not merely soft power; it is a vital, proactive tool for conflict prevention and establishing mutual understanding in an increasingly polarized world"&amp;".")</f>
        <v>Traditional diplomacy often struggles to keep pace with modern hybrid threats. Today, the youth’s role in diplomacy is to act as agile, digital-native ambassadors who build genuine, grassroots networks. Youth can foster cross-cultural trust and counter the rapid spread of misinformation—particularly in the realm of cognitive warfare—where official state channels are often restricted or too slow to react.
My connection to Public Diplomacy stems directly from my career trajectory. Having worked at the Japanese Ministry of Foreign Affairs, I understand the rigidities of formal statecraft. I view Public Diplomacy as the essential bridge connecting government policy with civil society. Now, as a researcher stationed between Taiwan and Japan focusing on Indo-Pacific security, my daily work is fundamentally an exercise in public diplomacy.
I analyze cognitive operations and share these insights to build societal resilience against manipulation. Furthermore, I am rigorously advancing my English and Chinese proficiency to facilitate direct, objective dialogues between diverse populations. To me, public diplomacy is not merely soft power; it is a vital, proactive tool for conflict prevention and establishing mutual understanding in an increasingly polarized world.</v>
      </c>
      <c r="AQ145" s="61" t="str">
        <f>IFERROR(__xludf.DUMMYFUNCTION("""COMPUTED_VALUE"""),"Passion is not merely temporary enthusiasm; it is the resilient, unwavering commitment to a purpose, especially when facing complex challenges.
In my life, passion is the engine that drove my transition from the stability of the Japanese Ministry of Fore"&amp;"ign Affairs and Nomura Securities to the demanding frontier of independent geopolitical research. Analyzing Indo-Pacific security, a potential Taiwan contingency, and cognitive warfare requires navigating immense political sensitivities and dense data.
F"&amp;"urthermore, passion sustains my daily discipline. It is the reason I dedicate years to mastering English and Chinese, knowing these languages are essential tools for facilitating objective, cross-cultural dialogue. When the intricacies of international re"&amp;"lations seem insurmountable, passion transforms exhaustion into focus. It reminds me of my ultimate goal: to build societal resilience against misinformation, prevent conflict, and foster genuine peace in a multipolar world.")</f>
        <v>Passion is not merely temporary enthusiasm; it is the resilient, unwavering commitment to a purpose, especially when facing complex challenges.
In my life, passion is the engine that drove my transition from the stability of the Japanese Ministry of Foreign Affairs and Nomura Securities to the demanding frontier of independent geopolitical research. Analyzing Indo-Pacific security, a potential Taiwan contingency, and cognitive warfare requires navigating immense political sensitivities and dense data.
Furthermore, passion sustains my daily discipline. It is the reason I dedicate years to mastering English and Chinese, knowing these languages are essential tools for facilitating objective, cross-cultural dialogue. When the intricacies of international relations seem insurmountable, passion transforms exhaustion into focus. It reminds me of my ultimate goal: to build societal resilience against misinformation, prevent conflict, and foster genuine peace in a multipolar world.</v>
      </c>
      <c r="AR145" s="61" t="str">
        <f>IFERROR(__xludf.DUMMYFUNCTION("""COMPUTED_VALUE"""),"Yes, my creativity is rooted in conceptual synthesis and interdisciplinary thinking. Rather than traditional arts, I apply creativity to geopolitical analysis. For example, in my research on modern cognitive warfare and intelligence operations, I often dr"&amp;"aw unexpected parallels to historical frameworks—such as comparing contemporary psychological tactics to the strategic principles of traditional religious groups. This out-of-the-box approach allows me to decode complex, opaque security threats.
I turn t"&amp;"his analytical creativity into an effective public diplomacy strategy through narrative translation. Traditional international relations discourse is often overly academic and inaccessible to the general public. My strategy is to transform dense data rega"&amp;"rding Indo-Pacific security and cross-strait dynamics into compelling, culturally resonant stories.
By leveraging my advancing proficiency in English and Chinese, I can bypass bureaucratic jargon and engage civil societies directly. An effective public d"&amp;"iplomacy strategy must capture hearts and minds before official policies are drafted. By creatively framing the invisible realities of cognitive warfare in terms that resonate with everyday people, I empower grassroots resilience against misinformation. T"&amp;"his culturally nuanced, narrative-driven approach bridges the gap between academic theory and public awareness, fostering genuine mutual understanding across borders.")</f>
        <v>Yes, my creativity is rooted in conceptual synthesis and interdisciplinary thinking. Rather than traditional arts, I apply creativity to geopolitical analysis. For example, in my research on modern cognitive warfare and intelligence operations, I often draw unexpected parallels to historical frameworks—such as comparing contemporary psychological tactics to the strategic principles of traditional religious groups. This out-of-the-box approach allows me to decode complex, opaque security threats.
I turn this analytical creativity into an effective public diplomacy strategy through narrative translation. Traditional international relations discourse is often overly academic and inaccessible to the general public. My strategy is to transform dense data regarding Indo-Pacific security and cross-strait dynamics into compelling, culturally resonant stories.
By leveraging my advancing proficiency in English and Chinese, I can bypass bureaucratic jargon and engage civil societies directly. An effective public diplomacy strategy must capture hearts and minds before official policies are drafted. By creatively framing the invisible realities of cognitive warfare in terms that resonate with everyday people, I empower grassroots resilience against misinformation. This culturally nuanced, narrative-driven approach bridges the gap between academic theory and public awareness, fostering genuine mutual understanding across borders.</v>
      </c>
      <c r="AS145" s="61" t="str">
        <f>IFERROR(__xludf.DUMMYFUNCTION("""COMPUTED_VALUE"""),"Yes")</f>
        <v>Yes</v>
      </c>
      <c r="AT145" s="61" t="str">
        <f>IFERROR(__xludf.DUMMYFUNCTION("""COMPUTED_VALUE"""),"Yes")</f>
        <v>Yes</v>
      </c>
      <c r="AU145" s="61" t="str">
        <f>IFERROR(__xludf.DUMMYFUNCTION("""COMPUTED_VALUE"""),"Global Politics, Diplomacy &amp; Identities")</f>
        <v>Global Politics, Diplomacy &amp; Identities</v>
      </c>
      <c r="AV145" s="61" t="str">
        <f>IFERROR(__xludf.DUMMYFUNCTION("""COMPUTED_VALUE"""),"Opportunities Corners")</f>
        <v>Opportunities Corners</v>
      </c>
      <c r="AW145" s="61" t="str">
        <f>IFERROR(__xludf.DUMMYFUNCTION("""COMPUTED_VALUE"""),"Public Diplomacy in the 21 century")</f>
        <v>Public Diplomacy in the 21 century</v>
      </c>
      <c r="AX145" s="66" t="str">
        <f>IFERROR(__xludf.DUMMYFUNCTION("""COMPUTED_VALUE"""),"Yes")</f>
        <v>Yes</v>
      </c>
      <c r="AY145" s="66">
        <f>IFERROR(__xludf.DUMMYFUNCTION("""COMPUTED_VALUE"""),15.99)</f>
        <v>15.99</v>
      </c>
      <c r="AZ145" s="61"/>
      <c r="BA145" s="61"/>
      <c r="BB145" s="61"/>
      <c r="BC145" s="61"/>
      <c r="BD145" s="61"/>
      <c r="BE145" s="61"/>
      <c r="BF145" s="61"/>
      <c r="BG145" s="61"/>
      <c r="BH145" s="61"/>
      <c r="BI145" s="61"/>
      <c r="BJ145" s="61"/>
      <c r="BK145" s="61"/>
      <c r="BL145" s="61"/>
      <c r="BM145" s="61"/>
      <c r="BN145" s="61"/>
      <c r="BO145" s="61"/>
      <c r="BP145" s="61"/>
      <c r="BQ145" s="61"/>
      <c r="BR145" s="61"/>
    </row>
    <row r="146" ht="15.75" customHeight="1">
      <c r="A146" s="61" t="str">
        <f>IFERROR(__xludf.DUMMYFUNCTION("""COMPUTED_VALUE"""),"Full/Partial")</f>
        <v>Full/Partial</v>
      </c>
      <c r="B146" s="62">
        <f>IFERROR(__xludf.DUMMYFUNCTION("""COMPUTED_VALUE"""),171.0)</f>
        <v>171</v>
      </c>
      <c r="C146" s="61" t="str">
        <f>IFERROR(__xludf.DUMMYFUNCTION("""COMPUTED_VALUE"""),"Partial")</f>
        <v>Partial</v>
      </c>
      <c r="D146" s="63" t="str">
        <f>IFERROR(__xludf.DUMMYFUNCTION("""COMPUTED_VALUE"""),"Submitted")</f>
        <v>Submitted</v>
      </c>
      <c r="E146" s="63">
        <f>IFERROR(__xludf.DUMMYFUNCTION("""COMPUTED_VALUE"""),46210.62916666667)</f>
        <v>46210.62917</v>
      </c>
      <c r="F146" s="61" t="str">
        <f>IFERROR(__xludf.DUMMYFUNCTION("""COMPUTED_VALUE"""),"Biiara Zheenalieva")</f>
        <v>Biiara Zheenalieva</v>
      </c>
      <c r="G146" s="61" t="str">
        <f>IFERROR(__xludf.DUMMYFUNCTION("""COMPUTED_VALUE"""),"Biiara Zheenalieva")</f>
        <v>Biiara Zheenalieva</v>
      </c>
      <c r="H146" s="61" t="str">
        <f>IFERROR(__xludf.DUMMYFUNCTION("""COMPUTED_VALUE"""),"biara2016msk@gmail.com")</f>
        <v>biara2016msk@gmail.com</v>
      </c>
      <c r="I146" s="61" t="str">
        <f>IFERROR(__xludf.DUMMYFUNCTION("""COMPUTED_VALUE"""),"biiara.zheenalieva.kk@gmail.com")</f>
        <v>biiara.zheenalieva.kk@gmail.com</v>
      </c>
      <c r="J146" s="61"/>
      <c r="K146" s="61" t="str">
        <f>IFERROR(__xludf.DUMMYFUNCTION("""COMPUTED_VALUE"""),"Kyrgyz")</f>
        <v>Kyrgyz</v>
      </c>
      <c r="L146" s="64" t="str">
        <f>IFERROR(__xludf.DUMMYFUNCTION("""COMPUTED_VALUE"""),"+996779315938")</f>
        <v>+996779315938</v>
      </c>
      <c r="M146" s="64">
        <f>IFERROR(__xludf.DUMMYFUNCTION("""COMPUTED_VALUE"""),36768.0)</f>
        <v>36768</v>
      </c>
      <c r="N146" s="61" t="str">
        <f>IFERROR(__xludf.DUMMYFUNCTION("""COMPUTED_VALUE"""),"AC3779426")</f>
        <v>AC3779426</v>
      </c>
      <c r="O146" s="61" t="str">
        <f>IFERROR(__xludf.DUMMYFUNCTION("""COMPUTED_VALUE"""),"+996779315938")</f>
        <v>+996779315938</v>
      </c>
      <c r="P146" s="61"/>
      <c r="Q146" s="61"/>
      <c r="R146" s="61"/>
      <c r="S146" s="61" t="str">
        <f>IFERROR(__xludf.DUMMYFUNCTION("""COMPUTED_VALUE"""),"WhatsApp Image 2026-06-22 at 14.10.45.jpeg")</f>
        <v>WhatsApp Image 2026-06-22 at 14.10.45.jpeg</v>
      </c>
      <c r="T146" s="61" t="str">
        <f>IFERROR(__xludf.DUMMYFUNCTION("""COMPUTED_VALUE"""),"5Z4Q7980.jpg.jpeg")</f>
        <v>5Z4Q7980.jpg.jpeg</v>
      </c>
      <c r="U146" s="61" t="str">
        <f>IFERROR(__xludf.DUMMYFUNCTION("""COMPUTED_VALUE"""),"Master's")</f>
        <v>Master's</v>
      </c>
      <c r="V146" s="61" t="str">
        <f>IFERROR(__xludf.DUMMYFUNCTION("""COMPUTED_VALUE"""),"International Relations")</f>
        <v>International Relations</v>
      </c>
      <c r="W146" s="61"/>
      <c r="X146" s="61" t="str">
        <f>IFERROR(__xludf.DUMMYFUNCTION("""COMPUTED_VALUE"""),"Anadolu University")</f>
        <v>Anadolu University</v>
      </c>
      <c r="Y146" s="61" t="str">
        <f>IFERROR(__xludf.DUMMYFUNCTION("""COMPUTED_VALUE"""),"No")</f>
        <v>No</v>
      </c>
      <c r="Z146" s="61" t="str">
        <f>IFERROR(__xludf.DUMMYFUNCTION("""COMPUTED_VALUE"""),"Turkey")</f>
        <v>Turkey</v>
      </c>
      <c r="AA146" s="61" t="str">
        <f>IFERROR(__xludf.DUMMYFUNCTION("""COMPUTED_VALUE"""),"Yes")</f>
        <v>Yes</v>
      </c>
      <c r="AB146" s="61" t="str">
        <f>IFERROR(__xludf.DUMMYFUNCTION("""COMPUTED_VALUE"""),"Erasmus+ at Nicolaus Copernicus University in Poland")</f>
        <v>Erasmus+ at Nicolaus Copernicus University in Poland</v>
      </c>
      <c r="AC146" s="61" t="str">
        <f>IFERROR(__xludf.DUMMYFUNCTION("""COMPUTED_VALUE"""),"Yes")</f>
        <v>Yes</v>
      </c>
      <c r="AD146" s="61" t="str">
        <f>IFERROR(__xludf.DUMMYFUNCTION("""COMPUTED_VALUE"""),"UNDP, National Society of the Red Crescent of Kyrgyzstan.")</f>
        <v>UNDP, National Society of the Red Crescent of Kyrgyzstan.</v>
      </c>
      <c r="AE146" s="61"/>
      <c r="AF146" s="61"/>
      <c r="AG146" s="61"/>
      <c r="AH146" s="61" t="str">
        <f>IFERROR(__xludf.DUMMYFUNCTION("""COMPUTED_VALUE"""),"Yes")</f>
        <v>Yes</v>
      </c>
      <c r="AI146" s="61" t="str">
        <f>IFERROR(__xludf.DUMMYFUNCTION("""COMPUTED_VALUE"""),"Specialist of the Department of International Cooperation and Protocol at Bishkek Mayor's Office")</f>
        <v>Specialist of the Department of International Cooperation and Protocol at Bishkek Mayor's Office</v>
      </c>
      <c r="AJ146" s="61"/>
      <c r="AK146" s="61"/>
      <c r="AL146" s="61"/>
      <c r="AM146" s="61" t="str">
        <f>IFERROR(__xludf.DUMMYFUNCTION("""COMPUTED_VALUE"""),"Biiara Zheenalieva CV 2026.pdf")</f>
        <v>Biiara Zheenalieva CV 2026.pdf</v>
      </c>
      <c r="AN146" s="61" t="str">
        <f>IFERROR(__xludf.DUMMYFUNCTION("""COMPUTED_VALUE"""),"I have always believed that changing the world begins with improving the community around us. In my personal and professional life, I strive to connect people, ideas, and institutions to create meaningful change. Through my work at the Bishkek City Hall's"&amp;" International Cooperation Department, I help build partnerships that bring international expertise and opportunities to the city. I also dedicate time to volunteering, youth engagement, and promoting cross-cultural dialogue as I believe mutual understand"&amp;"ing is the foundation of sustainable development. Every project I contribute to, no matter how small, is a step toward creating more inclusive, resilient, and connected communities.")</f>
        <v>I have always believed that changing the world begins with improving the community around us. In my personal and professional life, I strive to connect people, ideas, and institutions to create meaningful change. Through my work at the Bishkek City Hall's International Cooperation Department, I help build partnerships that bring international expertise and opportunities to the city. I also dedicate time to volunteering, youth engagement, and promoting cross-cultural dialogue as I believe mutual understanding is the foundation of sustainable development. Every project I contribute to, no matter how small, is a step toward creating more inclusive, resilient, and connected communities.</v>
      </c>
      <c r="AO146" s="61" t="str">
        <f>IFERROR(__xludf.DUMMYFUNCTION("""COMPUTED_VALUE"""),"I believe no single country is the most diplomatically significant as today's global challenges require cooperation rather than dominance. However, I consider Switzerland particularly significant due to its long-standing neutrality, strong tradition of me"&amp;"diation, and role as a host for international organizations and peace negotiations. Its ability to facilitate dialogue between countries with opposing interests demonstrates the true value of diplomacy. At the same time, I recognize that every nation, reg"&amp;"ardless of its size, has an important role in addressing issues such as climate change, security, migration, and sustainable development. Effective diplomacy is built on collaboration, trust, and mutual respect.")</f>
        <v>I believe no single country is the most diplomatically significant as today's global challenges require cooperation rather than dominance. However, I consider Switzerland particularly significant due to its long-standing neutrality, strong tradition of mediation, and role as a host for international organizations and peace negotiations. Its ability to facilitate dialogue between countries with opposing interests demonstrates the true value of diplomacy. At the same time, I recognize that every nation, regardless of its size, has an important role in addressing issues such as climate change, security, migration, and sustainable development. Effective diplomacy is built on collaboration, trust, and mutual respect.</v>
      </c>
      <c r="AP146" s="61" t="str">
        <f>IFERROR(__xludf.DUMMYFUNCTION("""COMPUTED_VALUE"""),"Young people play a vital role in diplomacy because they bring new perspectives, adaptability, and a genuine willingness to build connections across cultures. In an increasingly interconnected world, diplomacy is no longer limited to governments but  it a"&amp;"lso depends on individuals who can foster dialogue, promote mutual understanding, and encourage international cooperation.
My experiences have shaped this belief. Working in the International Cooperation Department of Bishkek City Hall has shown me how in"&amp;"ternational partnerships can improve local communities through knowledge exchange and joint initiatives. Studying abroad through Erasmus+, participating in international youth forums, and collaborating with people from diverse cultural backgrounds have ta"&amp;"ught me that trust is built through communication, respect, and shared goals rather than political differences. Also, I strongly relate to the idea of public diplomacy as it emphasizes people-to-people connections alongside official relations. Every conve"&amp;"rsation, cultural exchange, or collaborative project contributes to how countries perceive one another. As a person who speaks several languages and has worked in multicultural environments, I see communication as a powerful diplomatic tool. I aspire to c"&amp;"ontinue serving as a bridge between local communities and international partners, helping transform global cooperation into practical initiatives that create positive and lasting impact for society.")</f>
        <v>Young people play a vital role in diplomacy because they bring new perspectives, adaptability, and a genuine willingness to build connections across cultures. In an increasingly interconnected world, diplomacy is no longer limited to governments but  it also depends on individuals who can foster dialogue, promote mutual understanding, and encourage international cooperation.
My experiences have shaped this belief. Working in the International Cooperation Department of Bishkek City Hall has shown me how international partnerships can improve local communities through knowledge exchange and joint initiatives. Studying abroad through Erasmus+, participating in international youth forums, and collaborating with people from diverse cultural backgrounds have taught me that trust is built through communication, respect, and shared goals rather than political differences. Also, I strongly relate to the idea of public diplomacy as it emphasizes people-to-people connections alongside official relations. Every conversation, cultural exchange, or collaborative project contributes to how countries perceive one another. As a person who speaks several languages and has worked in multicultural environments, I see communication as a powerful diplomatic tool. I aspire to continue serving as a bridge between local communities and international partners, helping transform global cooperation into practical initiatives that create positive and lasting impact for society.</v>
      </c>
      <c r="AQ146" s="61" t="str">
        <f>IFERROR(__xludf.DUMMYFUNCTION("""COMPUTED_VALUE"""),"To me, passion is the inner drive that motivates me to keep learning, growing, and making a meaningful contribution, even when the path is challenging. It is what transforms goals into consistent action. My passion lies in international cooperation and di"&amp;"plomacy because I believe that dialogue and collaboration can create positive change in people's lives. This passion has encouraged me to pursue opportunities that expanded both my professional and personal perspectives. Working with international partner"&amp;"s, studying abroad, volunteering, and engaging in multicultural environments have strengthened my communication skills, resilience, and ability to adapt to different perspectives. Today, in my role at the International Cooperation Department of Bishkek Ci"&amp;"ty Hall, I continue turning this passion into practical work by supporting partnerships that benefit local communities. Passion gives me the motivation to improve every day, embrace new challenges, and stay committed to my long-term goal of contributing t"&amp;"o stronger international cooperation and sustainable development.")</f>
        <v>To me, passion is the inner drive that motivates me to keep learning, growing, and making a meaningful contribution, even when the path is challenging. It is what transforms goals into consistent action. My passion lies in international cooperation and diplomacy because I believe that dialogue and collaboration can create positive change in people's lives. This passion has encouraged me to pursue opportunities that expanded both my professional and personal perspectives. Working with international partners, studying abroad, volunteering, and engaging in multicultural environments have strengthened my communication skills, resilience, and ability to adapt to different perspectives. Today, in my role at the International Cooperation Department of Bishkek City Hall, I continue turning this passion into practical work by supporting partnerships that benefit local communities. Passion gives me the motivation to improve every day, embrace new challenges, and stay committed to my long-term goal of contributing to stronger international cooperation and sustainable development.</v>
      </c>
      <c r="AR146" s="61" t="str">
        <f>IFERROR(__xludf.DUMMYFUNCTION("""COMPUTED_VALUE"""),"I consider myself a creative person because I enjoy finding innovative ways to connect people, ideas, and cultures. In my opinion, creativity is about approaching challenges with an open mind and turning opportunities into meaningful collaboration. Throug"&amp;"hout my academic and professional journey, I have worked in multicultural environments where creativity was essential for effective communication. Whether coordinating with international partners, translating ideas across languages, or participating in in"&amp;"ternational exchange programs, I learned that successful diplomacy requires adapting messages to different audiences while respecting cultural differences. My current work at the International Cooperation Department of Bishkek City Hall has reinforced the"&amp;" importance of presenting local initiatives in ways that encourage international partnerships and mutual trust. I believe creativity is a key element of effective public diplomacy. A successful strategy is not only about promoting a country's image but al"&amp;"so about creating authentic people-to-people connections. Cultural exchanges, youth engagement, digital storytelling, and collaborative projects can build lasting relationships that traditional diplomacy alone cannot achieve. I would contribute by combini"&amp;"ng my international experience, communication skills, and understanding of diverse cultures to design initiatives that encourage dialogue, strengthen international cooperation, and showcase Kyrgyzstan as an open and reliable partner.")</f>
        <v>I consider myself a creative person because I enjoy finding innovative ways to connect people, ideas, and cultures. In my opinion, creativity is about approaching challenges with an open mind and turning opportunities into meaningful collaboration. Throughout my academic and professional journey, I have worked in multicultural environments where creativity was essential for effective communication. Whether coordinating with international partners, translating ideas across languages, or participating in international exchange programs, I learned that successful diplomacy requires adapting messages to different audiences while respecting cultural differences. My current work at the International Cooperation Department of Bishkek City Hall has reinforced the importance of presenting local initiatives in ways that encourage international partnerships and mutual trust. I believe creativity is a key element of effective public diplomacy. A successful strategy is not only about promoting a country's image but also about creating authentic people-to-people connections. Cultural exchanges, youth engagement, digital storytelling, and collaborative projects can build lasting relationships that traditional diplomacy alone cannot achieve. I would contribute by combining my international experience, communication skills, and understanding of diverse cultures to design initiatives that encourage dialogue, strengthen international cooperation, and showcase Kyrgyzstan as an open and reliable partner.</v>
      </c>
      <c r="AS146" s="61" t="str">
        <f>IFERROR(__xludf.DUMMYFUNCTION("""COMPUTED_VALUE"""),"Yes")</f>
        <v>Yes</v>
      </c>
      <c r="AT146" s="61" t="str">
        <f>IFERROR(__xludf.DUMMYFUNCTION("""COMPUTED_VALUE"""),"Yes")</f>
        <v>Yes</v>
      </c>
      <c r="AU146" s="61" t="str">
        <f>IFERROR(__xludf.DUMMYFUNCTION("""COMPUTED_VALUE"""),"International Public Service Relations")</f>
        <v>International Public Service Relations</v>
      </c>
      <c r="AV146" s="61" t="str">
        <f>IFERROR(__xludf.DUMMYFUNCTION("""COMPUTED_VALUE"""),"Opportunity corners website")</f>
        <v>Opportunity corners website</v>
      </c>
      <c r="AW146" s="61"/>
      <c r="AX146" s="66" t="str">
        <f>IFERROR(__xludf.DUMMYFUNCTION("""COMPUTED_VALUE"""),"Yes")</f>
        <v>Yes</v>
      </c>
      <c r="AY146" s="66">
        <f>IFERROR(__xludf.DUMMYFUNCTION("""COMPUTED_VALUE"""),15.99)</f>
        <v>15.99</v>
      </c>
      <c r="AZ146" s="61"/>
      <c r="BA146" s="61"/>
      <c r="BB146" s="61"/>
      <c r="BC146" s="61"/>
      <c r="BD146" s="61"/>
      <c r="BE146" s="61"/>
      <c r="BF146" s="61"/>
      <c r="BG146" s="61"/>
      <c r="BH146" s="61"/>
      <c r="BI146" s="61"/>
      <c r="BJ146" s="61"/>
      <c r="BK146" s="61"/>
      <c r="BL146" s="61"/>
      <c r="BM146" s="61"/>
      <c r="BN146" s="61"/>
      <c r="BO146" s="61"/>
      <c r="BP146" s="61"/>
      <c r="BQ146" s="61"/>
      <c r="BR146" s="61"/>
    </row>
    <row r="147" ht="15.75" customHeight="1">
      <c r="A147" s="61" t="str">
        <f>IFERROR(__xludf.DUMMYFUNCTION("""COMPUTED_VALUE"""),"Full/Partial")</f>
        <v>Full/Partial</v>
      </c>
      <c r="B147" s="62">
        <f>IFERROR(__xludf.DUMMYFUNCTION("""COMPUTED_VALUE"""),172.0)</f>
        <v>172</v>
      </c>
      <c r="C147" s="61" t="str">
        <f>IFERROR(__xludf.DUMMYFUNCTION("""COMPUTED_VALUE"""),"Partial")</f>
        <v>Partial</v>
      </c>
      <c r="D147" s="63" t="str">
        <f>IFERROR(__xludf.DUMMYFUNCTION("""COMPUTED_VALUE"""),"Submitted")</f>
        <v>Submitted</v>
      </c>
      <c r="E147" s="63">
        <f>IFERROR(__xludf.DUMMYFUNCTION("""COMPUTED_VALUE"""),46211.80416666667)</f>
        <v>46211.80417</v>
      </c>
      <c r="F147" s="61" t="str">
        <f>IFERROR(__xludf.DUMMYFUNCTION("""COMPUTED_VALUE"""),"Venus Janelle Samonte")</f>
        <v>Venus Janelle Samonte</v>
      </c>
      <c r="G147" s="61" t="str">
        <f>IFERROR(__xludf.DUMMYFUNCTION("""COMPUTED_VALUE"""),"VENUS JANELLE GARCIA SAMONTE")</f>
        <v>VENUS JANELLE GARCIA SAMONTE</v>
      </c>
      <c r="H147" s="61" t="str">
        <f>IFERROR(__xludf.DUMMYFUNCTION("""COMPUTED_VALUE"""),"vgsamonte@up.edu.ph")</f>
        <v>vgsamonte@up.edu.ph</v>
      </c>
      <c r="I147" s="61" t="str">
        <f>IFERROR(__xludf.DUMMYFUNCTION("""COMPUTED_VALUE"""),"venusjanelle.ph@gmail.com")</f>
        <v>venusjanelle.ph@gmail.com</v>
      </c>
      <c r="J147" s="61" t="str">
        <f>IFERROR(__xludf.DUMMYFUNCTION("""COMPUTED_VALUE"""),"1865 Leon Guinto Street, Malate, Manila, Philippines")</f>
        <v>1865 Leon Guinto Street, Malate, Manila, Philippines</v>
      </c>
      <c r="K147" s="61" t="str">
        <f>IFERROR(__xludf.DUMMYFUNCTION("""COMPUTED_VALUE"""),"Filipino")</f>
        <v>Filipino</v>
      </c>
      <c r="L147" s="64" t="str">
        <f>IFERROR(__xludf.DUMMYFUNCTION("""COMPUTED_VALUE"""),"+639770878284")</f>
        <v>+639770878284</v>
      </c>
      <c r="M147" s="64">
        <f>IFERROR(__xludf.DUMMYFUNCTION("""COMPUTED_VALUE"""),37341.0)</f>
        <v>37341</v>
      </c>
      <c r="N147" s="61" t="str">
        <f>IFERROR(__xludf.DUMMYFUNCTION("""COMPUTED_VALUE"""),"P7040475C")</f>
        <v>P7040475C</v>
      </c>
      <c r="O147" s="61" t="str">
        <f>IFERROR(__xludf.DUMMYFUNCTION("""COMPUTED_VALUE"""),"Jane Samonte - +639163888619")</f>
        <v>Jane Samonte - +639163888619</v>
      </c>
      <c r="P147" s="65" t="str">
        <f>IFERROR(__xludf.DUMMYFUNCTION("""COMPUTED_VALUE"""),"https://www.linkedin.com/in/vgsamonte")</f>
        <v>https://www.linkedin.com/in/vgsamonte</v>
      </c>
      <c r="Q147" s="61" t="str">
        <f>IFERROR(__xludf.DUMMYFUNCTION("""COMPUTED_VALUE"""),"@vnelia_")</f>
        <v>@vnelia_</v>
      </c>
      <c r="R147" s="65" t="str">
        <f>IFERROR(__xludf.DUMMYFUNCTION("""COMPUTED_VALUE"""),"https://www.facebook.com/vgsamonte")</f>
        <v>https://www.facebook.com/vgsamonte</v>
      </c>
      <c r="S147" s="61" t="str">
        <f>IFERROR(__xludf.DUMMYFUNCTION("""COMPUTED_VALUE"""),"Passport_Samonte.png")</f>
        <v>Passport_Samonte.png</v>
      </c>
      <c r="T147" s="61" t="str">
        <f>IFERROR(__xludf.DUMMYFUNCTION("""COMPUTED_VALUE"""),"Samonte_ID.png")</f>
        <v>Samonte_ID.png</v>
      </c>
      <c r="U147" s="61" t="str">
        <f>IFERROR(__xludf.DUMMYFUNCTION("""COMPUTED_VALUE"""),"Bachelor's")</f>
        <v>Bachelor's</v>
      </c>
      <c r="V147" s="61" t="str">
        <f>IFERROR(__xludf.DUMMYFUNCTION("""COMPUTED_VALUE"""),"Public Administration")</f>
        <v>Public Administration</v>
      </c>
      <c r="W147" s="61"/>
      <c r="X147" s="61" t="str">
        <f>IFERROR(__xludf.DUMMYFUNCTION("""COMPUTED_VALUE"""),"University of the Philippines Diliman")</f>
        <v>University of the Philippines Diliman</v>
      </c>
      <c r="Y147" s="61" t="str">
        <f>IFERROR(__xludf.DUMMYFUNCTION("""COMPUTED_VALUE"""),"No")</f>
        <v>No</v>
      </c>
      <c r="Z147" s="61" t="str">
        <f>IFERROR(__xludf.DUMMYFUNCTION("""COMPUTED_VALUE"""),"Philippines")</f>
        <v>Philippines</v>
      </c>
      <c r="AA147" s="61" t="str">
        <f>IFERROR(__xludf.DUMMYFUNCTION("""COMPUTED_VALUE"""),"Yes")</f>
        <v>Yes</v>
      </c>
      <c r="AB147" s="61" t="str">
        <f>IFERROR(__xludf.DUMMYFUNCTION("""COMPUTED_VALUE"""),"Kyung Hee University (2025), Peking University (2024), Osaka University (2021)")</f>
        <v>Kyung Hee University (2025), Peking University (2024), Osaka University (2021)</v>
      </c>
      <c r="AC147" s="61" t="str">
        <f>IFERROR(__xludf.DUMMYFUNCTION("""COMPUTED_VALUE"""),"Yes, I currently work as an international relations researcher.")</f>
        <v>Yes, I currently work as an international relations researcher.</v>
      </c>
      <c r="AD147" s="61" t="str">
        <f>IFERROR(__xludf.DUMMYFUNCTION("""COMPUTED_VALUE"""),"Rotaract Club of Mandaluyong Premier, sponsored by the Rotary Club of Mandaluyong Premier")</f>
        <v>Rotaract Club of Mandaluyong Premier, sponsored by the Rotary Club of Mandaluyong Premier</v>
      </c>
      <c r="AE147" s="65" t="str">
        <f>IFERROR(__xludf.DUMMYFUNCTION("""COMPUTED_VALUE"""),"https://www.facebook.com/racmandaluyongpremier")</f>
        <v>https://www.facebook.com/racmandaluyongpremier</v>
      </c>
      <c r="AF147" s="61" t="str">
        <f>IFERROR(__xludf.DUMMYFUNCTION("""COMPUTED_VALUE"""),"International Service Director")</f>
        <v>International Service Director</v>
      </c>
      <c r="AG147" s="61" t="str">
        <f>IFERROR(__xludf.DUMMYFUNCTION("""COMPUTED_VALUE"""),"2")</f>
        <v>2</v>
      </c>
      <c r="AH147" s="61" t="str">
        <f>IFERROR(__xludf.DUMMYFUNCTION("""COMPUTED_VALUE"""),"Yes")</f>
        <v>Yes</v>
      </c>
      <c r="AI147" s="61" t="str">
        <f>IFERROR(__xludf.DUMMYFUNCTION("""COMPUTED_VALUE"""),"Researcher, University of the Philippines Korea Research Center; Creative Executive, SUKASENI Malaysia")</f>
        <v>Researcher, University of the Philippines Korea Research Center; Creative Executive, SUKASENI Malaysia</v>
      </c>
      <c r="AJ147" s="61" t="str">
        <f>IFERROR(__xludf.DUMMYFUNCTION("""COMPUTED_VALUE"""),"No.")</f>
        <v>No.</v>
      </c>
      <c r="AK147" s="61" t="str">
        <f>IFERROR(__xludf.DUMMYFUNCTION("""COMPUTED_VALUE"""),"I have not founded any organizations yet, but I have led several existing ones already (Secretary-General, Model United Nations - University of the Philippines Diliman: official university team for local and overseas MUN conferences; President, UP Samahan"&amp;" Tungo sa Progresibong Administrasyon [UP Society Towards Progressive Administration]: oldest and largest socio-academic organization of UP National College of Public Administration and Governance aimed to host and spearhead initiatives towards effective "&amp;"governance and leadership; Managing &amp; Layout Editor, Philippine Collegian: the country's most renowned student publication which continuously represents grassroots organizations and members of the common Filipino masses. I am also currently a member of Am"&amp;"nesty International Philippines, World Youth Alliance - Asia Pacific Chapter, and the International Peace Bureau: organizations that all foster proactive efforts towards betterment and meaningful change.")</f>
        <v>I have not founded any organizations yet, but I have led several existing ones already (Secretary-General, Model United Nations - University of the Philippines Diliman: official university team for local and overseas MUN conferences; President, UP Samahan Tungo sa Progresibong Administrasyon [UP Society Towards Progressive Administration]: oldest and largest socio-academic organization of UP National College of Public Administration and Governance aimed to host and spearhead initiatives towards effective governance and leadership; Managing &amp; Layout Editor, Philippine Collegian: the country's most renowned student publication which continuously represents grassroots organizations and members of the common Filipino masses. I am also currently a member of Amnesty International Philippines, World Youth Alliance - Asia Pacific Chapter, and the International Peace Bureau: organizations that all foster proactive efforts towards betterment and meaningful change.</v>
      </c>
      <c r="AL147" s="61" t="str">
        <f>IFERROR(__xludf.DUMMYFUNCTION("""COMPUTED_VALUE"""),"Research and coordination: stakeholder engagement, project coordination, conference operations, policy research")</f>
        <v>Research and coordination: stakeholder engagement, project coordination, conference operations, policy research</v>
      </c>
      <c r="AM147" s="61" t="str">
        <f>IFERROR(__xludf.DUMMYFUNCTION("""COMPUTED_VALUE"""),"CV_Samonte, Venus Janelle G..pdf")</f>
        <v>CV_Samonte, Venus Janelle G..pdf</v>
      </c>
      <c r="AN147" s="61" t="str">
        <f>IFERROR(__xludf.DUMMYFUNCTION("""COMPUTED_VALUE"""),"Yes, of course. I challenge systemic challenges of existing gender inequalities and initial perceptions on the youth not being able to make meaningful change given their age through several institutes I had the privilege of taking part of and leading. Mos"&amp;"t of my projects revolve around fighting against injustices faced by the common Filipino people through skills-building, information sessions, and other relevant dialogues that help them realize that there are present avenues for them to take part in. Man"&amp;"y of our people only need the chance to be given such opportunities in order to fairly thrive.")</f>
        <v>Yes, of course. I challenge systemic challenges of existing gender inequalities and initial perceptions on the youth not being able to make meaningful change given their age through several institutes I had the privilege of taking part of and leading. Most of my projects revolve around fighting against injustices faced by the common Filipino people through skills-building, information sessions, and other relevant dialogues that help them realize that there are present avenues for them to take part in. Many of our people only need the chance to be given such opportunities in order to fairly thrive.</v>
      </c>
      <c r="AO147" s="61" t="str">
        <f>IFERROR(__xludf.DUMMYFUNCTION("""COMPUTED_VALUE"""),"It would be both the United States and China. They both thrive economically, are influential with their partner countries, and can easily dictate the fate of the world depending on where their investments would be made on. This puts them on a highly-sensi"&amp;"tive position globally; in any given day, they can deliver urgent news to neighboring states for every major move they make.")</f>
        <v>It would be both the United States and China. They both thrive economically, are influential with their partner countries, and can easily dictate the fate of the world depending on where their investments would be made on. This puts them on a highly-sensitive position globally; in any given day, they can deliver urgent news to neighboring states for every major move they make.</v>
      </c>
      <c r="AP147" s="61" t="str">
        <f>IFERROR(__xludf.DUMMYFUNCTION("""COMPUTED_VALUE"""),"For us members of the Gen Z generation, we are equipped with the privilege of living both in traditional and modern times, as we initially schooled with traditional pen and paper and finished our degrees with new assistive technology. This puts us on the "&amp;"responsibility to aid the rest of the members of our economies towards responsible usage. The easy availability of virtual connections becomes a tool for how countries can further exhibit and employ positive public diplomacy for strengthened bilateral and"&amp;" regional cooperations.")</f>
        <v>For us members of the Gen Z generation, we are equipped with the privilege of living both in traditional and modern times, as we initially schooled with traditional pen and paper and finished our degrees with new assistive technology. This puts us on the responsibility to aid the rest of the members of our economies towards responsible usage. The easy availability of virtual connections becomes a tool for how countries can further exhibit and employ positive public diplomacy for strengthened bilateral and regional cooperations.</v>
      </c>
      <c r="AQ147" s="61" t="str">
        <f>IFERROR(__xludf.DUMMYFUNCTION("""COMPUTED_VALUE"""),"Passion is hope. As a Filipino, there were many instances where we had second thoughts about the security of our future and identity, but such insecurities are a test of mind I believe. Over the years, I have come to love my country more, and I remain cri"&amp;"tical because I still see that we can make it work. All of my love for the Philippines and the ASEAN region shows in my work.")</f>
        <v>Passion is hope. As a Filipino, there were many instances where we had second thoughts about the security of our future and identity, but such insecurities are a test of mind I believe. Over the years, I have come to love my country more, and I remain critical because I still see that we can make it work. All of my love for the Philippines and the ASEAN region shows in my work.</v>
      </c>
      <c r="AR147" s="61" t="str">
        <f>IFERROR(__xludf.DUMMYFUNCTION("""COMPUTED_VALUE"""),"Yes, I have been a self-taught graphic designer for a decade, and I write poetically as well. Effective public diplomacy can be done outside the realm of scholars and the academe, even as a researcher myself, through easily palatable information via human"&amp;"-made artistic output. Many of our audiences and stakeholders have grown to learn more about several issues and topics because of packaged designed that are more digestible in layman terms. The purpose of our academic journey is to turn our words into act"&amp;"ions anyway, because there is no point in the never ending churning of intelligence if it cannot be disseminated to those who we should be representing in the first place.")</f>
        <v>Yes, I have been a self-taught graphic designer for a decade, and I write poetically as well. Effective public diplomacy can be done outside the realm of scholars and the academe, even as a researcher myself, through easily palatable information via human-made artistic output. Many of our audiences and stakeholders have grown to learn more about several issues and topics because of packaged designed that are more digestible in layman terms. The purpose of our academic journey is to turn our words into actions anyway, because there is no point in the never ending churning of intelligence if it cannot be disseminated to those who we should be representing in the first place.</v>
      </c>
      <c r="AS147" s="61" t="str">
        <f>IFERROR(__xludf.DUMMYFUNCTION("""COMPUTED_VALUE"""),"Yes")</f>
        <v>Yes</v>
      </c>
      <c r="AT147" s="61" t="str">
        <f>IFERROR(__xludf.DUMMYFUNCTION("""COMPUTED_VALUE"""),"Yes")</f>
        <v>Yes</v>
      </c>
      <c r="AU147" s="61" t="str">
        <f>IFERROR(__xludf.DUMMYFUNCTION("""COMPUTED_VALUE"""),"Strategy, Peace &amp; Cultural Diplomacy")</f>
        <v>Strategy, Peace &amp; Cultural Diplomacy</v>
      </c>
      <c r="AV147" s="61" t="str">
        <f>IFERROR(__xludf.DUMMYFUNCTION("""COMPUTED_VALUE"""),"Invitation by CSCD via email.")</f>
        <v>Invitation by CSCD via email.</v>
      </c>
      <c r="AW147" s="61"/>
      <c r="AX147" s="66" t="str">
        <f>IFERROR(__xludf.DUMMYFUNCTION("""COMPUTED_VALUE"""),"Yes")</f>
        <v>Yes</v>
      </c>
      <c r="AY147" s="66">
        <f>IFERROR(__xludf.DUMMYFUNCTION("""COMPUTED_VALUE"""),15.99)</f>
        <v>15.99</v>
      </c>
      <c r="AZ147" s="61"/>
      <c r="BA147" s="61"/>
      <c r="BB147" s="61"/>
      <c r="BC147" s="61"/>
      <c r="BD147" s="61"/>
      <c r="BE147" s="61"/>
      <c r="BF147" s="61"/>
      <c r="BG147" s="61"/>
      <c r="BH147" s="61"/>
      <c r="BI147" s="61"/>
      <c r="BJ147" s="61"/>
      <c r="BK147" s="61"/>
      <c r="BL147" s="61"/>
      <c r="BM147" s="61"/>
      <c r="BN147" s="61"/>
      <c r="BO147" s="61"/>
      <c r="BP147" s="61"/>
      <c r="BQ147" s="61"/>
      <c r="BR147" s="61"/>
    </row>
    <row r="148" ht="15.75" customHeight="1">
      <c r="A148" s="61" t="str">
        <f>IFERROR(__xludf.DUMMYFUNCTION("""COMPUTED_VALUE"""),"")</f>
        <v/>
      </c>
      <c r="B148" s="62">
        <f>IFERROR(__xludf.DUMMYFUNCTION("""COMPUTED_VALUE"""),174.0)</f>
        <v>174</v>
      </c>
      <c r="C148" s="61" t="str">
        <f>IFERROR(__xludf.DUMMYFUNCTION("""COMPUTED_VALUE"""),"Self")</f>
        <v>Self</v>
      </c>
      <c r="D148" s="63" t="str">
        <f>IFERROR(__xludf.DUMMYFUNCTION("""COMPUTED_VALUE"""),"Submitted")</f>
        <v>Submitted</v>
      </c>
      <c r="E148" s="63">
        <f>IFERROR(__xludf.DUMMYFUNCTION("""COMPUTED_VALUE"""),46213.50694444445)</f>
        <v>46213.50694</v>
      </c>
      <c r="F148" s="61" t="str">
        <f>IFERROR(__xludf.DUMMYFUNCTION("""COMPUTED_VALUE"""),"Khadija Iftikhar")</f>
        <v>Khadija Iftikhar</v>
      </c>
      <c r="G148" s="61" t="str">
        <f>IFERROR(__xludf.DUMMYFUNCTION("""COMPUTED_VALUE"""),"Khadija Iftikhar")</f>
        <v>Khadija Iftikhar</v>
      </c>
      <c r="H148" s="61" t="str">
        <f>IFERROR(__xludf.DUMMYFUNCTION("""COMPUTED_VALUE"""),"khadijasaqib004@gmail.com")</f>
        <v>khadijasaqib004@gmail.com</v>
      </c>
      <c r="I148" s="61" t="str">
        <f>IFERROR(__xludf.DUMMYFUNCTION("""COMPUTED_VALUE"""),"khadijasaqib666@gmail.com")</f>
        <v>khadijasaqib666@gmail.com</v>
      </c>
      <c r="J148" s="61" t="str">
        <f>IFERROR(__xludf.DUMMYFUNCTION("""COMPUTED_VALUE"""),"Chak 177 GB Sandah Kala, Tehsil Samundri, District Faisalabad, sammundri, Pakistan")</f>
        <v>Chak 177 GB Sandah Kala, Tehsil Samundri, District Faisalabad, sammundri, Pakistan</v>
      </c>
      <c r="K148" s="61" t="str">
        <f>IFERROR(__xludf.DUMMYFUNCTION("""COMPUTED_VALUE"""),"Pakistani")</f>
        <v>Pakistani</v>
      </c>
      <c r="L148" s="64" t="str">
        <f>IFERROR(__xludf.DUMMYFUNCTION("""COMPUTED_VALUE"""),"+923094248136")</f>
        <v>+923094248136</v>
      </c>
      <c r="M148" s="64">
        <f>IFERROR(__xludf.DUMMYFUNCTION("""COMPUTED_VALUE"""),37338.0)</f>
        <v>37338</v>
      </c>
      <c r="N148" s="61" t="str">
        <f>IFERROR(__xludf.DUMMYFUNCTION("""COMPUTED_VALUE"""),"CW1579321")</f>
        <v>CW1579321</v>
      </c>
      <c r="O148" s="61" t="str">
        <f>IFERROR(__xludf.DUMMYFUNCTION("""COMPUTED_VALUE"""),"+923094248136")</f>
        <v>+923094248136</v>
      </c>
      <c r="P148" s="67" t="str">
        <f>IFERROR(__xludf.DUMMYFUNCTION("""COMPUTED_VALUE"""),"https://www.linkedin.com/in/khadijaiftikhar177?")</f>
        <v>https://www.linkedin.com/in/khadijaiftikhar177?</v>
      </c>
      <c r="Q148" s="61"/>
      <c r="R148" s="61"/>
      <c r="S148" s="61" t="str">
        <f>IFERROR(__xludf.DUMMYFUNCTION("""COMPUTED_VALUE"""),"CamScanner 12-05-2023 08.33.jpg")</f>
        <v>CamScanner 12-05-2023 08.33.jpg</v>
      </c>
      <c r="T148" s="61" t="str">
        <f>IFERROR(__xludf.DUMMYFUNCTION("""COMPUTED_VALUE"""),"WhatsApp Image 2026-07-10 at 11.47.34 AM.jpeg")</f>
        <v>WhatsApp Image 2026-07-10 at 11.47.34 AM.jpeg</v>
      </c>
      <c r="U148" s="61" t="str">
        <f>IFERROR(__xludf.DUMMYFUNCTION("""COMPUTED_VALUE"""),"Bechalors")</f>
        <v>Bechalors</v>
      </c>
      <c r="V148" s="61" t="str">
        <f>IFERROR(__xludf.DUMMYFUNCTION("""COMPUTED_VALUE"""),"Bsc. hons. Environmental Sciences")</f>
        <v>Bsc. hons. Environmental Sciences</v>
      </c>
      <c r="W148" s="61" t="str">
        <f>IFERROR(__xludf.DUMMYFUNCTION("""COMPUTED_VALUE"""),"Environmental science")</f>
        <v>Environmental science</v>
      </c>
      <c r="X148" s="61" t="str">
        <f>IFERROR(__xludf.DUMMYFUNCTION("""COMPUTED_VALUE"""),"University of Agriculture, Faisalabad")</f>
        <v>University of Agriculture, Faisalabad</v>
      </c>
      <c r="Y148" s="61" t="str">
        <f>IFERROR(__xludf.DUMMYFUNCTION("""COMPUTED_VALUE"""),"No")</f>
        <v>No</v>
      </c>
      <c r="Z148" s="61" t="str">
        <f>IFERROR(__xludf.DUMMYFUNCTION("""COMPUTED_VALUE"""),"Pakistan")</f>
        <v>Pakistan</v>
      </c>
      <c r="AA148" s="61" t="str">
        <f>IFERROR(__xludf.DUMMYFUNCTION("""COMPUTED_VALUE"""),"No")</f>
        <v>No</v>
      </c>
      <c r="AB148" s="61"/>
      <c r="AC148" s="61"/>
      <c r="AD148" s="61" t="str">
        <f>IFERROR(__xludf.DUMMYFUNCTION("""COMPUTED_VALUE"""),"EcoRevival Pakistan")</f>
        <v>EcoRevival Pakistan</v>
      </c>
      <c r="AE148" s="61"/>
      <c r="AF148" s="61" t="str">
        <f>IFERROR(__xludf.DUMMYFUNCTION("""COMPUTED_VALUE"""),"Project reporting officer")</f>
        <v>Project reporting officer</v>
      </c>
      <c r="AG148" s="61" t="str">
        <f>IFERROR(__xludf.DUMMYFUNCTION("""COMPUTED_VALUE"""),"2")</f>
        <v>2</v>
      </c>
      <c r="AH148" s="61" t="str">
        <f>IFERROR(__xludf.DUMMYFUNCTION("""COMPUTED_VALUE"""),"Yes")</f>
        <v>Yes</v>
      </c>
      <c r="AI148" s="61" t="str">
        <f>IFERROR(__xludf.DUMMYFUNCTION("""COMPUTED_VALUE"""),"Founder")</f>
        <v>Founder</v>
      </c>
      <c r="AJ148" s="61" t="str">
        <f>IFERROR(__xludf.DUMMYFUNCTION("""COMPUTED_VALUE"""),"yes")</f>
        <v>yes</v>
      </c>
      <c r="AK148" s="61" t="str">
        <f>IFERROR(__xludf.DUMMYFUNCTION("""COMPUTED_VALUE"""),"To promote environmental sustainability through climate action, environmental education, community engagement, and youth empowerment. EcoRevival Pakistan works to advance Action for Climate Empowerment (ACE) by raising public awareness, encouraging conser"&amp;"vation and ecosystem restoration, supporting sustainable practices, and mobilizing young people to lead initiatives that contribute to a greener and more climate-resilient Pakistan")</f>
        <v>To promote environmental sustainability through climate action, environmental education, community engagement, and youth empowerment. EcoRevival Pakistan works to advance Action for Climate Empowerment (ACE) by raising public awareness, encouraging conservation and ecosystem restoration, supporting sustainable practices, and mobilizing young people to lead initiatives that contribute to a greener and more climate-resilient Pakistan</v>
      </c>
      <c r="AL148" s="61" t="str">
        <f>IFERROR(__xludf.DUMMYFUNCTION("""COMPUTED_VALUE"""),"Climate Change Environmental Policy Environmental Governance Waste Management Circular Economy Biodiversity Conservation Ecosystem Restoration Water Resource Management Environmental Impact Assessment (EIA) Climate Adaptation &amp; Resilience Sustainable Deve"&amp;"lopment (SDGs) Environmental Education &amp; Awareness")</f>
        <v>Climate Change Environmental Policy Environmental Governance Waste Management Circular Economy Biodiversity Conservation Ecosystem Restoration Water Resource Management Environmental Impact Assessment (EIA) Climate Adaptation &amp; Resilience Sustainable Development (SDGs) Environmental Education &amp; Awareness</v>
      </c>
      <c r="AM148" s="61" t="str">
        <f>IFERROR(__xludf.DUMMYFUNCTION("""COMPUTED_VALUE"""),"CV - Khadija.pdf")</f>
        <v>CV - Khadija.pdf</v>
      </c>
      <c r="AN148" s="61" t="str">
        <f>IFERROR(__xludf.DUMMYFUNCTION("""COMPUTED_VALUE"""),"Yes. I believe meaningful change begins with individual action. I founded EcoRevival Pakistan to empower young people through environmental education, climate awareness campaigns, clean-up drives, tree plantation initiatives, and community engagement. I h"&amp;"ave organized webinars, workshops, and volunteer activities that encourage sustainable practices and environmental stewardship. Alongside my community work, I have contributed to environmental policy processes through my work with Pakistan's Ministry of C"&amp;"limate Change and Environmental Coordination, supporting initiatives on climate resilience and sustainable development. By combining grassroots action with policy engagement, I strive to inspire others and contribute to practical, long-term solutions for "&amp;"environmental challenges.")</f>
        <v>Yes. I believe meaningful change begins with individual action. I founded EcoRevival Pakistan to empower young people through environmental education, climate awareness campaigns, clean-up drives, tree plantation initiatives, and community engagement. I have organized webinars, workshops, and volunteer activities that encourage sustainable practices and environmental stewardship. Alongside my community work, I have contributed to environmental policy processes through my work with Pakistan's Ministry of Climate Change and Environmental Coordination, supporting initiatives on climate resilience and sustainable development. By combining grassroots action with policy engagement, I strive to inspire others and contribute to practical, long-term solutions for environmental challenges.</v>
      </c>
      <c r="AO148" s="61" t="str">
        <f>IFERROR(__xludf.DUMMYFUNCTION("""COMPUTED_VALUE"""),"No single country is the most diplomatically significant in every context, as influence depends on the issue being addressed.")</f>
        <v>No single country is the most diplomatically significant in every context, as influence depends on the issue being addressed.</v>
      </c>
      <c r="AP148" s="61" t="str">
        <f>IFERROR(__xludf.DUMMYFUNCTION("""COMPUTED_VALUE"""),"Youth play a vital role in modern diplomacy by serving as innovators, bridge-builders, and advocates for global cooperation. In an interconnected world, young people contribute fresh perspectives, digital engagement, and community-driven solutions to chal"&amp;"lenges such as climate change, peacebuilding, public health, and sustainable development. Through volunteerism, international exchanges, research, and civic participation, youth help strengthen mutual understanding across cultures and promote dialogue bey"&amp;"ond formal government channels.
I strongly relate to the idea of public diplomacy because I believe lasting international relationships are built not only through governments but also through people. As the Founder of EcoRevival Pakistan and through my w"&amp;"ork with the Ministry of Climate Change and Environmental Coordination, I have engaged with diverse stakeholders, youth networks, and international partners to promote environmental awareness and climate action. These experiences have shown me that collab"&amp;"oration, knowledge sharing, and cultural exchange can inspire collective action and build trust across borders.
For me, public diplomacy means using education, community engagement, and evidence-based advocacy to represent my country positively while lea"&amp;"rning from others. I aspire to continue connecting local environmental initiatives with global partnerships, ensuring that youth voices contribute meaningfully to international dialogue and to achieving sustainable and inclusive solutions for future gener"&amp;"ations.")</f>
        <v>Youth play a vital role in modern diplomacy by serving as innovators, bridge-builders, and advocates for global cooperation. In an interconnected world, young people contribute fresh perspectives, digital engagement, and community-driven solutions to challenges such as climate change, peacebuilding, public health, and sustainable development. Through volunteerism, international exchanges, research, and civic participation, youth help strengthen mutual understanding across cultures and promote dialogue beyond formal government channels.
I strongly relate to the idea of public diplomacy because I believe lasting international relationships are built not only through governments but also through people. As the Founder of EcoRevival Pakistan and through my work with the Ministry of Climate Change and Environmental Coordination, I have engaged with diverse stakeholders, youth networks, and international partners to promote environmental awareness and climate action. These experiences have shown me that collaboration, knowledge sharing, and cultural exchange can inspire collective action and build trust across borders.
For me, public diplomacy means using education, community engagement, and evidence-based advocacy to represent my country positively while learning from others. I aspire to continue connecting local environmental initiatives with global partnerships, ensuring that youth voices contribute meaningfully to international dialogue and to achieving sustainable and inclusive solutions for future generations.</v>
      </c>
      <c r="AQ148" s="61" t="str">
        <f>IFERROR(__xludf.DUMMYFUNCTION("""COMPUTED_VALUE"""),"Passion is the inner drive that gives purpose to our actions and motivates us to keep moving forward despite challenges. It is more than enthusiasm; it is a long-term commitment to creating meaningful impact. Passion provides resilience, encourages contin"&amp;"uous learning, and transforms obstacles into opportunities for growth.
My passion lies in environmental sustainability and climate action. It has inspired me to found EcoRevival Pakistan, where I work with young people to promote environmental awareness,"&amp;" community engagement, and sustainable practices. It also motivated me to contribute to environmental policy through my work with the Ministry of Climate Change and Environmental Coordination, allowing me to connect grassroots action with national policy "&amp;"efforts.
This passion keeps me focused on my long-term goal of becoming a global environmental leader who develops practical and inclusive solutions to climate challenges. It reminds me that every initiative, no matter how small, can contribute to a heal"&amp;"thier planet and a more sustainable future for communities worldwide.")</f>
        <v>Passion is the inner drive that gives purpose to our actions and motivates us to keep moving forward despite challenges. It is more than enthusiasm; it is a long-term commitment to creating meaningful impact. Passion provides resilience, encourages continuous learning, and transforms obstacles into opportunities for growth.
My passion lies in environmental sustainability and climate action. It has inspired me to found EcoRevival Pakistan, where I work with young people to promote environmental awareness, community engagement, and sustainable practices. It also motivated me to contribute to environmental policy through my work with the Ministry of Climate Change and Environmental Coordination, allowing me to connect grassroots action with national policy efforts.
This passion keeps me focused on my long-term goal of becoming a global environmental leader who develops practical and inclusive solutions to climate challenges. It reminds me that every initiative, no matter how small, can contribute to a healthier planet and a more sustainable future for communities worldwide.</v>
      </c>
      <c r="AR148" s="61" t="str">
        <f>IFERROR(__xludf.DUMMYFUNCTION("""COMPUTED_VALUE"""),"Yes, I consider myself a creative person because I enjoy finding practical and engaging ways to address complex challenges. Creativity is not only about generating new ideas but also about communicating them in ways that inspire people to take action. Thr"&amp;"oughout my environmental work, I have used innovative approaches such as youth-led campaigns, community clean-up drives, webinars, art competitions, and digital awareness initiatives to make climate issues more accessible and relatable.
I believe creativ"&amp;"ity can be transformed into an effective public diplomacy strategy by using culture, storytelling, education, and digital platforms to build trust and strengthen international understanding. Public diplomacy is most successful when it connects people thro"&amp;"ugh shared values and common goals rather than formal negotiations alone. By designing inclusive campaigns and encouraging cross-cultural dialogue, creative initiatives can foster collaboration on global challenges such as climate change and sustainable d"&amp;"evelopment.
As the Founder of EcoRevival Pakistan and through my experience supporting environmental policy initiatives, I have learned that meaningful engagement begins with listening, collaboration, and effective communication. In the future, I hope to"&amp;" use creative public diplomacy to connect youth across borders, promote environmental cooperation, and showcase Pakistan's commitment to sustainable development while learning from the experiences of other nations.")</f>
        <v>Yes, I consider myself a creative person because I enjoy finding practical and engaging ways to address complex challenges. Creativity is not only about generating new ideas but also about communicating them in ways that inspire people to take action. Throughout my environmental work, I have used innovative approaches such as youth-led campaigns, community clean-up drives, webinars, art competitions, and digital awareness initiatives to make climate issues more accessible and relatable.
I believe creativity can be transformed into an effective public diplomacy strategy by using culture, storytelling, education, and digital platforms to build trust and strengthen international understanding. Public diplomacy is most successful when it connects people through shared values and common goals rather than formal negotiations alone. By designing inclusive campaigns and encouraging cross-cultural dialogue, creative initiatives can foster collaboration on global challenges such as climate change and sustainable development.
As the Founder of EcoRevival Pakistan and through my experience supporting environmental policy initiatives, I have learned that meaningful engagement begins with listening, collaboration, and effective communication. In the future, I hope to use creative public diplomacy to connect youth across borders, promote environmental cooperation, and showcase Pakistan's commitment to sustainable development while learning from the experiences of other nations.</v>
      </c>
      <c r="AS148" s="61" t="str">
        <f>IFERROR(__xludf.DUMMYFUNCTION("""COMPUTED_VALUE"""),"No")</f>
        <v>No</v>
      </c>
      <c r="AT148" s="61" t="str">
        <f>IFERROR(__xludf.DUMMYFUNCTION("""COMPUTED_VALUE"""),"No")</f>
        <v>No</v>
      </c>
      <c r="AU148" s="61" t="str">
        <f>IFERROR(__xludf.DUMMYFUNCTION("""COMPUTED_VALUE"""),"Global Politics, Diplomacy &amp; Identities")</f>
        <v>Global Politics, Diplomacy &amp; Identities</v>
      </c>
      <c r="AV148" s="61" t="str">
        <f>IFERROR(__xludf.DUMMYFUNCTION("""COMPUTED_VALUE"""),"google")</f>
        <v>google</v>
      </c>
      <c r="AW148" s="61"/>
      <c r="AX148" s="66" t="str">
        <f>IFERROR(__xludf.DUMMYFUNCTION("""COMPUTED_VALUE"""),"Yes")</f>
        <v>Yes</v>
      </c>
      <c r="AY148" s="66">
        <f>IFERROR(__xludf.DUMMYFUNCTION("""COMPUTED_VALUE"""),15.99)</f>
        <v>15.99</v>
      </c>
      <c r="AZ148" s="61"/>
      <c r="BA148" s="61"/>
      <c r="BB148" s="61"/>
      <c r="BC148" s="61"/>
      <c r="BD148" s="61"/>
      <c r="BE148" s="61"/>
      <c r="BF148" s="61"/>
      <c r="BG148" s="61"/>
      <c r="BH148" s="61"/>
      <c r="BI148" s="61"/>
      <c r="BJ148" s="61"/>
      <c r="BK148" s="61"/>
      <c r="BL148" s="61"/>
      <c r="BM148" s="61"/>
      <c r="BN148" s="61"/>
      <c r="BO148" s="61"/>
      <c r="BP148" s="61"/>
      <c r="BQ148" s="61"/>
      <c r="BR148" s="61"/>
    </row>
    <row r="149" ht="15.75" customHeight="1">
      <c r="A149" s="61" t="str">
        <f>IFERROR(__xludf.DUMMYFUNCTION("""COMPUTED_VALUE"""),"Full")</f>
        <v>Full</v>
      </c>
      <c r="B149" s="62">
        <f>IFERROR(__xludf.DUMMYFUNCTION("""COMPUTED_VALUE"""),175.0)</f>
        <v>175</v>
      </c>
      <c r="C149" s="61" t="str">
        <f>IFERROR(__xludf.DUMMYFUNCTION("""COMPUTED_VALUE"""),"Full")</f>
        <v>Full</v>
      </c>
      <c r="D149" s="63" t="str">
        <f>IFERROR(__xludf.DUMMYFUNCTION("""COMPUTED_VALUE"""),"Submitted")</f>
        <v>Submitted</v>
      </c>
      <c r="E149" s="63">
        <f>IFERROR(__xludf.DUMMYFUNCTION("""COMPUTED_VALUE"""),46214.18958333333)</f>
        <v>46214.18958</v>
      </c>
      <c r="F149" s="61" t="str">
        <f>IFERROR(__xludf.DUMMYFUNCTION("""COMPUTED_VALUE"""),"Kia LeClair")</f>
        <v>Kia LeClair</v>
      </c>
      <c r="G149" s="61" t="str">
        <f>IFERROR(__xludf.DUMMYFUNCTION("""COMPUTED_VALUE"""),"Kia LeClair")</f>
        <v>Kia LeClair</v>
      </c>
      <c r="H149" s="61" t="str">
        <f>IFERROR(__xludf.DUMMYFUNCTION("""COMPUTED_VALUE"""),"kialeclair22@gmail.com")</f>
        <v>kialeclair22@gmail.com</v>
      </c>
      <c r="I149" s="61" t="str">
        <f>IFERROR(__xludf.DUMMYFUNCTION("""COMPUTED_VALUE"""),"kleclair@middlebury.edu")</f>
        <v>kleclair@middlebury.edu</v>
      </c>
      <c r="J149" s="61" t="str">
        <f>IFERROR(__xludf.DUMMYFUNCTION("""COMPUTED_VALUE"""),"29 Slater Ln Berkeley CA 94705, Berkeley, United States")</f>
        <v>29 Slater Ln Berkeley CA 94705, Berkeley, United States</v>
      </c>
      <c r="K149" s="61" t="str">
        <f>IFERROR(__xludf.DUMMYFUNCTION("""COMPUTED_VALUE"""),"American")</f>
        <v>American</v>
      </c>
      <c r="L149" s="64" t="str">
        <f>IFERROR(__xludf.DUMMYFUNCTION("""COMPUTED_VALUE"""),"+15107722077")</f>
        <v>+15107722077</v>
      </c>
      <c r="M149" s="64">
        <f>IFERROR(__xludf.DUMMYFUNCTION("""COMPUTED_VALUE"""),38525.0)</f>
        <v>38525</v>
      </c>
      <c r="N149" s="61" t="str">
        <f>IFERROR(__xludf.DUMMYFUNCTION("""COMPUTED_VALUE"""),"676860043")</f>
        <v>676860043</v>
      </c>
      <c r="O149" s="61" t="str">
        <f>IFERROR(__xludf.DUMMYFUNCTION("""COMPUTED_VALUE"""),"+15107722068")</f>
        <v>+15107722068</v>
      </c>
      <c r="P149" s="61"/>
      <c r="Q149" s="61"/>
      <c r="R149" s="61"/>
      <c r="S149" s="61" t="str">
        <f>IFERROR(__xludf.DUMMYFUNCTION("""COMPUTED_VALUE"""),"Screen Shot 2026-04-18 at 2.23.44 PM.png")</f>
        <v>Screen Shot 2026-04-18 at 2.23.44 PM.png</v>
      </c>
      <c r="T149" s="61" t="str">
        <f>IFERROR(__xludf.DUMMYFUNCTION("""COMPUTED_VALUE"""),"IMG_8298 Small.png")</f>
        <v>IMG_8298 Small.png</v>
      </c>
      <c r="U149" s="61" t="str">
        <f>IFERROR(__xludf.DUMMYFUNCTION("""COMPUTED_VALUE"""),"High School/Candidate for Bachelors")</f>
        <v>High School/Candidate for Bachelors</v>
      </c>
      <c r="V149" s="61" t="str">
        <f>IFERROR(__xludf.DUMMYFUNCTION("""COMPUTED_VALUE"""),"BA")</f>
        <v>BA</v>
      </c>
      <c r="W149" s="61" t="str">
        <f>IFERROR(__xludf.DUMMYFUNCTION("""COMPUTED_VALUE"""),"Major in International Politics and Economics")</f>
        <v>Major in International Politics and Economics</v>
      </c>
      <c r="X149" s="61" t="str">
        <f>IFERROR(__xludf.DUMMYFUNCTION("""COMPUTED_VALUE"""),"Middlebury College")</f>
        <v>Middlebury College</v>
      </c>
      <c r="Y149" s="61" t="str">
        <f>IFERROR(__xludf.DUMMYFUNCTION("""COMPUTED_VALUE"""),"Yes")</f>
        <v>Yes</v>
      </c>
      <c r="Z149" s="61" t="str">
        <f>IFERROR(__xludf.DUMMYFUNCTION("""COMPUTED_VALUE"""),"France")</f>
        <v>France</v>
      </c>
      <c r="AA149" s="61" t="str">
        <f>IFERROR(__xludf.DUMMYFUNCTION("""COMPUTED_VALUE"""),"Yes")</f>
        <v>Yes</v>
      </c>
      <c r="AB149" s="61" t="str">
        <f>IFERROR(__xludf.DUMMYFUNCTION("""COMPUTED_VALUE"""),"Paris 1 Pantheon Sorbonne")</f>
        <v>Paris 1 Pantheon Sorbonne</v>
      </c>
      <c r="AC149" s="61"/>
      <c r="AD149" s="61" t="str">
        <f>IFERROR(__xludf.DUMMYFUNCTION("""COMPUTED_VALUE"""),"Middlebury Congressional Church")</f>
        <v>Middlebury Congressional Church</v>
      </c>
      <c r="AE149" s="65" t="str">
        <f>IFERROR(__xludf.DUMMYFUNCTION("""COMPUTED_VALUE"""),"https://www.midducc.org/")</f>
        <v>https://www.midducc.org/</v>
      </c>
      <c r="AF149" s="61" t="str">
        <f>IFERROR(__xludf.DUMMYFUNCTION("""COMPUTED_VALUE"""),"Waiter/Cook serving dinner")</f>
        <v>Waiter/Cook serving dinner</v>
      </c>
      <c r="AG149" s="61" t="str">
        <f>IFERROR(__xludf.DUMMYFUNCTION("""COMPUTED_VALUE"""),"3")</f>
        <v>3</v>
      </c>
      <c r="AH149" s="61" t="str">
        <f>IFERROR(__xludf.DUMMYFUNCTION("""COMPUTED_VALUE"""),"No")</f>
        <v>No</v>
      </c>
      <c r="AI149" s="61"/>
      <c r="AJ149" s="61"/>
      <c r="AK149" s="61"/>
      <c r="AL149" s="61"/>
      <c r="AM149" s="61" t="str">
        <f>IFERROR(__xludf.DUMMYFUNCTION("""COMPUTED_VALUE"""),"Kia LeClair Resume (1).pdf")</f>
        <v>Kia LeClair Resume (1).pdf</v>
      </c>
      <c r="AN149" s="61" t="str">
        <f>IFERROR(__xludf.DUMMYFUNCTION("""COMPUTED_VALUE"""),"I think about changing the world in two ways. The first, a fantasy world where I speak every language and am able to settle conflicts. The second is reality where I tell myself that if I am able to improve people’s lives over the course of my own then I w"&amp;"ill have succeeded, even if I accomplish nothing else. I believe language is the most critical tool for building mutual understanding and diplomacy. Because of this I am ecstatic and proud of practicing my non-native languages, hoping one day to use them "&amp;"to change the world for the better.")</f>
        <v>I think about changing the world in two ways. The first, a fantasy world where I speak every language and am able to settle conflicts. The second is reality where I tell myself that if I am able to improve people’s lives over the course of my own then I will have succeeded, even if I accomplish nothing else. I believe language is the most critical tool for building mutual understanding and diplomacy. Because of this I am ecstatic and proud of practicing my non-native languages, hoping one day to use them to change the world for the better.</v>
      </c>
      <c r="AO149" s="61" t="str">
        <f>IFERROR(__xludf.DUMMYFUNCTION("""COMPUTED_VALUE"""),"Jordan has been the most diplomatically significant country since the World Wars. With one of the largest refugee populations per capita and severe water scarcity, it has managed to maintain peace in the most conflict prone region in the world. With no re"&amp;"al military power it has had to use diplomacy instead of force. That is why Jordan is so diplomatically significant. One single country serves as a buffer between Israel, the Arab World, and the West. Jordan serves as a prime case study of diplomacy in a "&amp;"period where the standards of diplomacy are slipping dearly.")</f>
        <v>Jordan has been the most diplomatically significant country since the World Wars. With one of the largest refugee populations per capita and severe water scarcity, it has managed to maintain peace in the most conflict prone region in the world. With no real military power it has had to use diplomacy instead of force. That is why Jordan is so diplomatically significant. One single country serves as a buffer between Israel, the Arab World, and the West. Jordan serves as a prime case study of diplomacy in a period where the standards of diplomacy are slipping dearly.</v>
      </c>
      <c r="AP149" s="61" t="str">
        <f>IFERROR(__xludf.DUMMYFUNCTION("""COMPUTED_VALUE"""),"The youth who commit themselves to diplomacy with the goal of bettering their planet are set to inherit one of the most challenging periods in this planet's history. Global Warming is reaching a tipping point, literacy rates are falling, extremism is on t"&amp;"he rise, and nations are looking inward to protect their own interests. Before the day comes to take an oath representing the interests of their country I hope the youth take a moment to remember why they became diplomats. I hope they remember staring at "&amp;"a map of the world in awe, marveling at how so many nations could exist in harmony. Some bordering each other, some inside of another, others in the middle of the ocean alone, all finding a way to coexist.
I am an avid believer that all men are created e"&amp;"qual, I grew up believing diplomats believed that too. As all life should, at its core, Public Diplomacy mimics the principles of kindness. It is a simple idea, but diplomacy is kindness practiced on the global scale. Remember that we are all human, and l"&amp;"ike diplomats we exist to lessen the suffering through the power bestowed by our existence.")</f>
        <v>The youth who commit themselves to diplomacy with the goal of bettering their planet are set to inherit one of the most challenging periods in this planet's history. Global Warming is reaching a tipping point, literacy rates are falling, extremism is on the rise, and nations are looking inward to protect their own interests. Before the day comes to take an oath representing the interests of their country I hope the youth take a moment to remember why they became diplomats. I hope they remember staring at a map of the world in awe, marveling at how so many nations could exist in harmony. Some bordering each other, some inside of another, others in the middle of the ocean alone, all finding a way to coexist.
I am an avid believer that all men are created equal, I grew up believing diplomats believed that too. As all life should, at its core, Public Diplomacy mimics the principles of kindness. It is a simple idea, but diplomacy is kindness practiced on the global scale. Remember that we are all human, and like diplomats we exist to lessen the suffering through the power bestowed by our existence.</v>
      </c>
      <c r="AQ149" s="61" t="str">
        <f>IFERROR(__xludf.DUMMYFUNCTION("""COMPUTED_VALUE"""),"Passion is an urge, yet not every urge is passion. Urge comes from impulse. Passion comes from obsession. What separates passion and the urge to do something is that passion will command you. Passion is such a compelling emotion that it changes the course"&amp;" of your behavior in an effort to quell the suffering that exists when you are in absence of what impassions you. 
Passion assures you that you may without apology pursue your goals. As the saying goes ""Find a job you enjoy doing and you will never have"&amp;" to work a day in your life.” Passion removes uncertainty, it gives you the privilege of knowing this is what you have to do. Passion can make life easy, it takes your choices away and makes you chase your goals. That is if you are lucky enough to be pass"&amp;"ionate about them to begin with.")</f>
        <v>Passion is an urge, yet not every urge is passion. Urge comes from impulse. Passion comes from obsession. What separates passion and the urge to do something is that passion will command you. Passion is such a compelling emotion that it changes the course of your behavior in an effort to quell the suffering that exists when you are in absence of what impassions you. 
Passion assures you that you may without apology pursue your goals. As the saying goes "Find a job you enjoy doing and you will never have to work a day in your life.” Passion removes uncertainty, it gives you the privilege of knowing this is what you have to do. Passion can make life easy, it takes your choices away and makes you chase your goals. That is if you are lucky enough to be passionate about them to begin with.</v>
      </c>
      <c r="AR149" s="61" t="str">
        <f>IFERROR(__xludf.DUMMYFUNCTION("""COMPUTED_VALUE"""),"I do consider myself a creative person, I believe art is one of humanity’s greatest creations and from it emerged a shared appreciation for genius and creativity. In the opinion of millions across the planet, that genius art sometimes culminates in the ab"&amp;"ility of one nation's football team to beat another's. Enter the World Cup.
The World Cup, currently taking place across the northernmost nations of North America, has always been a symbol of unity among sports fanatics worldwide. Soccer connects people "&amp;"across every culture with no barrier for entry, people unite because of a ball. 
My club soccer team in college similarly applies that gift of unity soccer gifted us. Using our unity and resources along with many teams at Middlebury, we make and serve di"&amp;"nners for the homeless in the area. A simple actionable solution for capable groups. Genius is celebrated because it is rare. That does not mean creativity has to be complicated. Diplomacy should unite people through common interests to serve those who ne"&amp;"ed help. Creativity channeled into effective public diplomacy strategy is a great path for fostering cultural diffusion. Football is a team sport as should Diplomacy be. We need each other to score.")</f>
        <v>I do consider myself a creative person, I believe art is one of humanity’s greatest creations and from it emerged a shared appreciation for genius and creativity. In the opinion of millions across the planet, that genius art sometimes culminates in the ability of one nation's football team to beat another's. Enter the World Cup.
The World Cup, currently taking place across the northernmost nations of North America, has always been a symbol of unity among sports fanatics worldwide. Soccer connects people across every culture with no barrier for entry, people unite because of a ball. 
My club soccer team in college similarly applies that gift of unity soccer gifted us. Using our unity and resources along with many teams at Middlebury, we make and serve dinners for the homeless in the area. A simple actionable solution for capable groups. Genius is celebrated because it is rare. That does not mean creativity has to be complicated. Diplomacy should unite people through common interests to serve those who need help. Creativity channeled into effective public diplomacy strategy is a great path for fostering cultural diffusion. Football is a team sport as should Diplomacy be. We need each other to score.</v>
      </c>
      <c r="AS149" s="61" t="str">
        <f>IFERROR(__xludf.DUMMYFUNCTION("""COMPUTED_VALUE"""),"Yes")</f>
        <v>Yes</v>
      </c>
      <c r="AT149" s="61" t="str">
        <f>IFERROR(__xludf.DUMMYFUNCTION("""COMPUTED_VALUE"""),"Yes")</f>
        <v>Yes</v>
      </c>
      <c r="AU149" s="61"/>
      <c r="AV149" s="61" t="str">
        <f>IFERROR(__xludf.DUMMYFUNCTION("""COMPUTED_VALUE"""),"Facebook")</f>
        <v>Facebook</v>
      </c>
      <c r="AW149" s="61" t="str">
        <f>IFERROR(__xludf.DUMMYFUNCTION("""COMPUTED_VALUE"""),"Grand Strategy vs Economic Strategy")</f>
        <v>Grand Strategy vs Economic Strategy</v>
      </c>
      <c r="AX149" s="66" t="str">
        <f>IFERROR(__xludf.DUMMYFUNCTION("""COMPUTED_VALUE"""),"Yes")</f>
        <v>Yes</v>
      </c>
      <c r="AY149" s="66">
        <f>IFERROR(__xludf.DUMMYFUNCTION("""COMPUTED_VALUE"""),15.99)</f>
        <v>15.99</v>
      </c>
      <c r="AZ149" s="61"/>
      <c r="BA149" s="61"/>
      <c r="BB149" s="61"/>
      <c r="BC149" s="61"/>
      <c r="BD149" s="61"/>
      <c r="BE149" s="61"/>
      <c r="BF149" s="61"/>
      <c r="BG149" s="61"/>
      <c r="BH149" s="61"/>
      <c r="BI149" s="61"/>
      <c r="BJ149" s="61"/>
      <c r="BK149" s="61"/>
      <c r="BL149" s="61"/>
      <c r="BM149" s="61"/>
      <c r="BN149" s="61"/>
      <c r="BO149" s="61"/>
      <c r="BP149" s="61"/>
      <c r="BQ149" s="61"/>
      <c r="BR149" s="61"/>
    </row>
    <row r="150" ht="15.75" customHeight="1">
      <c r="A150" s="61" t="str">
        <f>IFERROR(__xludf.DUMMYFUNCTION("""COMPUTED_VALUE"""),"Partial")</f>
        <v>Partial</v>
      </c>
      <c r="B150" s="62">
        <f>IFERROR(__xludf.DUMMYFUNCTION("""COMPUTED_VALUE"""),176.0)</f>
        <v>176</v>
      </c>
      <c r="C150" s="61" t="str">
        <f>IFERROR(__xludf.DUMMYFUNCTION("""COMPUTED_VALUE"""),"Partial")</f>
        <v>Partial</v>
      </c>
      <c r="D150" s="63" t="str">
        <f>IFERROR(__xludf.DUMMYFUNCTION("""COMPUTED_VALUE"""),"Submitted")</f>
        <v>Submitted</v>
      </c>
      <c r="E150" s="63">
        <f>IFERROR(__xludf.DUMMYFUNCTION("""COMPUTED_VALUE"""),46214.94166666667)</f>
        <v>46214.94167</v>
      </c>
      <c r="F150" s="61" t="str">
        <f>IFERROR(__xludf.DUMMYFUNCTION("""COMPUTED_VALUE"""),"Akhila Chandran")</f>
        <v>Akhila Chandran</v>
      </c>
      <c r="G150" s="61" t="str">
        <f>IFERROR(__xludf.DUMMYFUNCTION("""COMPUTED_VALUE"""),"Akhila Chandran")</f>
        <v>Akhila Chandran</v>
      </c>
      <c r="H150" s="61" t="str">
        <f>IFERROR(__xludf.DUMMYFUNCTION("""COMPUTED_VALUE"""),"akhilachandran97@gmail.com")</f>
        <v>akhilachandran97@gmail.com</v>
      </c>
      <c r="I150" s="61" t="str">
        <f>IFERROR(__xludf.DUMMYFUNCTION("""COMPUTED_VALUE"""),"akhila9496993709@gmail.com")</f>
        <v>akhila9496993709@gmail.com</v>
      </c>
      <c r="J150" s="61" t="str">
        <f>IFERROR(__xludf.DUMMYFUNCTION("""COMPUTED_VALUE"""),"House Name: 'Akhila' Sreenagar, 61/A Vadakkevilla P.O, kollam, India")</f>
        <v>House Name: 'Akhila' Sreenagar, 61/A Vadakkevilla P.O, kollam, India</v>
      </c>
      <c r="K150" s="61" t="str">
        <f>IFERROR(__xludf.DUMMYFUNCTION("""COMPUTED_VALUE"""),"Indian")</f>
        <v>Indian</v>
      </c>
      <c r="L150" s="64" t="str">
        <f>IFERROR(__xludf.DUMMYFUNCTION("""COMPUTED_VALUE"""),"09496993709")</f>
        <v>09496993709</v>
      </c>
      <c r="M150" s="64">
        <f>IFERROR(__xludf.DUMMYFUNCTION("""COMPUTED_VALUE"""),35682.0)</f>
        <v>35682</v>
      </c>
      <c r="N150" s="61" t="str">
        <f>IFERROR(__xludf.DUMMYFUNCTION("""COMPUTED_VALUE"""),"U3365318")</f>
        <v>U3365318</v>
      </c>
      <c r="O150" s="61" t="str">
        <f>IFERROR(__xludf.DUMMYFUNCTION("""COMPUTED_VALUE"""),"9447065709")</f>
        <v>9447065709</v>
      </c>
      <c r="P150" s="65" t="str">
        <f>IFERROR(__xludf.DUMMYFUNCTION("""COMPUTED_VALUE"""),"www.linkedin.com/in/akhila-chandran-5279721a0")</f>
        <v>www.linkedin.com/in/akhila-chandran-5279721a0</v>
      </c>
      <c r="Q150" s="61"/>
      <c r="R150" s="61"/>
      <c r="S150" s="61" t="str">
        <f>IFERROR(__xludf.DUMMYFUNCTION("""COMPUTED_VALUE"""),"InShot_20220112_231506705__01.jpg")</f>
        <v>InShot_20220112_231506705__01.jpg</v>
      </c>
      <c r="T150" s="61" t="str">
        <f>IFERROR(__xludf.DUMMYFUNCTION("""COMPUTED_VALUE"""),"IMG_20230725_012517_081.jpg")</f>
        <v>IMG_20230725_012517_081.jpg</v>
      </c>
      <c r="U150" s="61" t="str">
        <f>IFERROR(__xludf.DUMMYFUNCTION("""COMPUTED_VALUE"""),"Master's")</f>
        <v>Master's</v>
      </c>
      <c r="V150" s="61" t="str">
        <f>IFERROR(__xludf.DUMMYFUNCTION("""COMPUTED_VALUE"""),"Multimedia Journalism")</f>
        <v>Multimedia Journalism</v>
      </c>
      <c r="W150" s="61"/>
      <c r="X150" s="61" t="str">
        <f>IFERROR(__xludf.DUMMYFUNCTION("""COMPUTED_VALUE"""),"Sheffield Hallam University")</f>
        <v>Sheffield Hallam University</v>
      </c>
      <c r="Y150" s="61" t="str">
        <f>IFERROR(__xludf.DUMMYFUNCTION("""COMPUTED_VALUE"""),"No")</f>
        <v>No</v>
      </c>
      <c r="Z150" s="61" t="str">
        <f>IFERROR(__xludf.DUMMYFUNCTION("""COMPUTED_VALUE"""),"United Kingdom")</f>
        <v>United Kingdom</v>
      </c>
      <c r="AA150" s="61" t="str">
        <f>IFERROR(__xludf.DUMMYFUNCTION("""COMPUTED_VALUE"""),"No")</f>
        <v>No</v>
      </c>
      <c r="AB150" s="61"/>
      <c r="AC150" s="61"/>
      <c r="AD150" s="61" t="str">
        <f>IFERROR(__xludf.DUMMYFUNCTION("""COMPUTED_VALUE"""),"No")</f>
        <v>No</v>
      </c>
      <c r="AE150" s="61"/>
      <c r="AF150" s="61"/>
      <c r="AG150" s="61"/>
      <c r="AH150" s="61" t="str">
        <f>IFERROR(__xludf.DUMMYFUNCTION("""COMPUTED_VALUE"""),"Yes")</f>
        <v>Yes</v>
      </c>
      <c r="AI150" s="61" t="str">
        <f>IFERROR(__xludf.DUMMYFUNCTION("""COMPUTED_VALUE"""),"Fashion Content Writer")</f>
        <v>Fashion Content Writer</v>
      </c>
      <c r="AJ150" s="61"/>
      <c r="AK150" s="61"/>
      <c r="AL150" s="61" t="str">
        <f>IFERROR(__xludf.DUMMYFUNCTION("""COMPUTED_VALUE"""),"Journalism, Research writing, Interviewing, Data Analysis,Multimedia Storytelling")</f>
        <v>Journalism, Research writing, Interviewing, Data Analysis,Multimedia Storytelling</v>
      </c>
      <c r="AM150" s="61" t="str">
        <f>IFERROR(__xludf.DUMMYFUNCTION("""COMPUTED_VALUE"""),"AKHILA CHANDRAN- FINAL ATS FORMAT- CV.pdf")</f>
        <v>AKHILA CHANDRAN- FINAL ATS FORMAT- CV.pdf</v>
      </c>
      <c r="AN150" s="61" t="str">
        <f>IFERROR(__xludf.DUMMYFUNCTION("""COMPUTED_VALUE"""),"Oftentimes when I think about changing the world, I realise that it takes more than just one single thought to do. Especially when it comes to fighting for something big. I often think about the term revolutionise when I think about aspects of change. But"&amp;" fighting the power dynamics and implementing small steps come with great efforts and understanding. Understanding loopholes and working on effective models for improvement can achieve something big in the long run.")</f>
        <v>Oftentimes when I think about changing the world, I realise that it takes more than just one single thought to do. Especially when it comes to fighting for something big. I often think about the term revolutionise when I think about aspects of change. But fighting the power dynamics and implementing small steps come with great efforts and understanding. Understanding loopholes and working on effective models for improvement can achieve something big in the long run.</v>
      </c>
      <c r="AO150" s="61" t="str">
        <f>IFERROR(__xludf.DUMMYFUNCTION("""COMPUTED_VALUE"""),"A country that is developed and holds power in economics, Foreign relations, and trade can be called as diplomatically significant.")</f>
        <v>A country that is developed and holds power in economics, Foreign relations, and trade can be called as diplomatically significant.</v>
      </c>
      <c r="AP150" s="61" t="str">
        <f>IFERROR(__xludf.DUMMYFUNCTION("""COMPUTED_VALUE"""),"I think the role of youth comes with asking the difficult questions and creating a momentum for these through social media and other communication channels like activism and healthy protest. I think we should also cultivate the habit of asking difficult q"&amp;"uestions so that certain things can be addressed.")</f>
        <v>I think the role of youth comes with asking the difficult questions and creating a momentum for these through social media and other communication channels like activism and healthy protest. I think we should also cultivate the habit of asking difficult questions so that certain things can be addressed.</v>
      </c>
      <c r="AQ150" s="61" t="str">
        <f>IFERROR(__xludf.DUMMYFUNCTION("""COMPUTED_VALUE"""),"I think passion is directly proportional to goals. I think for life to become less lethargic, building routines that can slowly become a way to our passion is also important. Rather than working on forced goals, it's important to work on goals that hold p"&amp;"ersonal value so that achieving them can become rich and fulfilling.")</f>
        <v>I think passion is directly proportional to goals. I think for life to become less lethargic, building routines that can slowly become a way to our passion is also important. Rather than working on forced goals, it's important to work on goals that hold personal value so that achieving them can become rich and fulfilling.</v>
      </c>
      <c r="AR150" s="61" t="str">
        <f>IFERROR(__xludf.DUMMYFUNCTION("""COMPUTED_VALUE"""),"For a strategist to work on something, building campaigns and identifying good NGOs that work towards the same goal collectively is important. Finding small social groups that are already working on similar projects, working for small changes, can sometim"&amp;"es bring good results. This will also help in identifying the loopholes.")</f>
        <v>For a strategist to work on something, building campaigns and identifying good NGOs that work towards the same goal collectively is important. Finding small social groups that are already working on similar projects, working for small changes, can sometimes bring good results. This will also help in identifying the loopholes.</v>
      </c>
      <c r="AS150" s="61" t="str">
        <f>IFERROR(__xludf.DUMMYFUNCTION("""COMPUTED_VALUE"""),"Yes")</f>
        <v>Yes</v>
      </c>
      <c r="AT150" s="61" t="str">
        <f>IFERROR(__xludf.DUMMYFUNCTION("""COMPUTED_VALUE"""),"Yes")</f>
        <v>Yes</v>
      </c>
      <c r="AU150" s="61" t="str">
        <f>IFERROR(__xludf.DUMMYFUNCTION("""COMPUTED_VALUE"""),"Arts, Culture &amp; Soft Power")</f>
        <v>Arts, Culture &amp; Soft Power</v>
      </c>
      <c r="AV150" s="61" t="str">
        <f>IFERROR(__xludf.DUMMYFUNCTION("""COMPUTED_VALUE"""),"Threads")</f>
        <v>Threads</v>
      </c>
      <c r="AW150" s="61" t="str">
        <f>IFERROR(__xludf.DUMMYFUNCTION("""COMPUTED_VALUE"""),"Philosophy, Arts, Culture, Softpower")</f>
        <v>Philosophy, Arts, Culture, Softpower</v>
      </c>
      <c r="AX150" s="66" t="str">
        <f>IFERROR(__xludf.DUMMYFUNCTION("""COMPUTED_VALUE"""),"Yes")</f>
        <v>Yes</v>
      </c>
      <c r="AY150" s="66">
        <f>IFERROR(__xludf.DUMMYFUNCTION("""COMPUTED_VALUE"""),15.99)</f>
        <v>15.99</v>
      </c>
      <c r="AZ150" s="61"/>
      <c r="BA150" s="61"/>
      <c r="BB150" s="61"/>
      <c r="BC150" s="61"/>
      <c r="BD150" s="61"/>
      <c r="BE150" s="61"/>
      <c r="BF150" s="61"/>
      <c r="BG150" s="61"/>
      <c r="BH150" s="61"/>
      <c r="BI150" s="61"/>
      <c r="BJ150" s="61"/>
      <c r="BK150" s="61"/>
      <c r="BL150" s="61"/>
      <c r="BM150" s="61"/>
      <c r="BN150" s="61"/>
      <c r="BO150" s="61"/>
      <c r="BP150" s="61"/>
      <c r="BQ150" s="61"/>
      <c r="BR150" s="61"/>
    </row>
    <row r="151" ht="15.75" customHeight="1">
      <c r="A151" s="61" t="str">
        <f>IFERROR(__xludf.DUMMYFUNCTION("""COMPUTED_VALUE"""),"Partial")</f>
        <v>Partial</v>
      </c>
      <c r="B151" s="62">
        <f>IFERROR(__xludf.DUMMYFUNCTION("""COMPUTED_VALUE"""),177.0)</f>
        <v>177</v>
      </c>
      <c r="C151" s="61" t="str">
        <f>IFERROR(__xludf.DUMMYFUNCTION("""COMPUTED_VALUE"""),"Partial")</f>
        <v>Partial</v>
      </c>
      <c r="D151" s="63" t="str">
        <f>IFERROR(__xludf.DUMMYFUNCTION("""COMPUTED_VALUE"""),"Submitted")</f>
        <v>Submitted</v>
      </c>
      <c r="E151" s="63">
        <f>IFERROR(__xludf.DUMMYFUNCTION("""COMPUTED_VALUE"""),46215.13194444445)</f>
        <v>46215.13194</v>
      </c>
      <c r="F151" s="61" t="str">
        <f>IFERROR(__xludf.DUMMYFUNCTION("""COMPUTED_VALUE"""),"Oluwademilade Oladipo")</f>
        <v>Oluwademilade Oladipo</v>
      </c>
      <c r="G151" s="61" t="str">
        <f>IFERROR(__xludf.DUMMYFUNCTION("""COMPUTED_VALUE"""),"Oluwademilade Valentina Oladipo")</f>
        <v>Oluwademilade Valentina Oladipo</v>
      </c>
      <c r="H151" s="61" t="str">
        <f>IFERROR(__xludf.DUMMYFUNCTION("""COMPUTED_VALUE"""),"demilade.oladipo@gmail.com")</f>
        <v>demilade.oladipo@gmail.com</v>
      </c>
      <c r="I151" s="61" t="str">
        <f>IFERROR(__xludf.DUMMYFUNCTION("""COMPUTED_VALUE"""),"migai.intl@outlook.com")</f>
        <v>migai.intl@outlook.com</v>
      </c>
      <c r="J151" s="61" t="str">
        <f>IFERROR(__xludf.DUMMYFUNCTION("""COMPUTED_VALUE"""),"Alexandra Court, Orchid Road Lekki, Lagos Nigeria, Lekki, Nigeria")</f>
        <v>Alexandra Court, Orchid Road Lekki, Lagos Nigeria, Lekki, Nigeria</v>
      </c>
      <c r="K151" s="61" t="str">
        <f>IFERROR(__xludf.DUMMYFUNCTION("""COMPUTED_VALUE"""),"Nigerian")</f>
        <v>Nigerian</v>
      </c>
      <c r="L151" s="64" t="str">
        <f>IFERROR(__xludf.DUMMYFUNCTION("""COMPUTED_VALUE"""),"+2348130493833")</f>
        <v>+2348130493833</v>
      </c>
      <c r="M151" s="64">
        <f>IFERROR(__xludf.DUMMYFUNCTION("""COMPUTED_VALUE"""),36570.0)</f>
        <v>36570</v>
      </c>
      <c r="N151" s="61" t="str">
        <f>IFERROR(__xludf.DUMMYFUNCTION("""COMPUTED_VALUE"""),"B04042233")</f>
        <v>B04042233</v>
      </c>
      <c r="O151" s="61" t="str">
        <f>IFERROR(__xludf.DUMMYFUNCTION("""COMPUTED_VALUE"""),"+234 8166 258 658")</f>
        <v>+234 8166 258 658</v>
      </c>
      <c r="P151" s="61" t="str">
        <f>IFERROR(__xludf.DUMMYFUNCTION("""COMPUTED_VALUE"""),"Oladipo Oluwademilade  Valentina")</f>
        <v>Oladipo Oluwademilade  Valentina</v>
      </c>
      <c r="Q151" s="61" t="str">
        <f>IFERROR(__xludf.DUMMYFUNCTION("""COMPUTED_VALUE"""),"Oluwademiladeeeee")</f>
        <v>Oluwademiladeeeee</v>
      </c>
      <c r="R151" s="61" t="str">
        <f>IFERROR(__xludf.DUMMYFUNCTION("""COMPUTED_VALUE"""),"Oladipo Oluwademilade Valentina")</f>
        <v>Oladipo Oluwademilade Valentina</v>
      </c>
      <c r="S151" s="61" t="str">
        <f>IFERROR(__xludf.DUMMYFUNCTION("""COMPUTED_VALUE"""),"Oluwademilade Passport.jpeg")</f>
        <v>Oluwademilade Passport.jpeg</v>
      </c>
      <c r="T151" s="61" t="str">
        <f>IFERROR(__xludf.DUMMYFUNCTION("""COMPUTED_VALUE"""),"WhatsApp Image 2026-07-11 at 10.16.58 PM.jpeg")</f>
        <v>WhatsApp Image 2026-07-11 at 10.16.58 PM.jpeg</v>
      </c>
      <c r="U151" s="61" t="str">
        <f>IFERROR(__xludf.DUMMYFUNCTION("""COMPUTED_VALUE"""),"Bsc Economics")</f>
        <v>Bsc Economics</v>
      </c>
      <c r="V151" s="61" t="str">
        <f>IFERROR(__xludf.DUMMYFUNCTION("""COMPUTED_VALUE"""),"Bachelor")</f>
        <v>Bachelor</v>
      </c>
      <c r="W151" s="61" t="str">
        <f>IFERROR(__xludf.DUMMYFUNCTION("""COMPUTED_VALUE"""),"Economics")</f>
        <v>Economics</v>
      </c>
      <c r="X151" s="61" t="str">
        <f>IFERROR(__xludf.DUMMYFUNCTION("""COMPUTED_VALUE"""),"Tansian University")</f>
        <v>Tansian University</v>
      </c>
      <c r="Y151" s="61" t="str">
        <f>IFERROR(__xludf.DUMMYFUNCTION("""COMPUTED_VALUE"""),"Yes")</f>
        <v>Yes</v>
      </c>
      <c r="Z151" s="61" t="str">
        <f>IFERROR(__xludf.DUMMYFUNCTION("""COMPUTED_VALUE"""),"Nigeria")</f>
        <v>Nigeria</v>
      </c>
      <c r="AA151" s="61" t="str">
        <f>IFERROR(__xludf.DUMMYFUNCTION("""COMPUTED_VALUE"""),"No")</f>
        <v>No</v>
      </c>
      <c r="AB151" s="61"/>
      <c r="AC151" s="61" t="str">
        <f>IFERROR(__xludf.DUMMYFUNCTION("""COMPUTED_VALUE"""),"Yes")</f>
        <v>Yes</v>
      </c>
      <c r="AD151" s="61" t="str">
        <f>IFERROR(__xludf.DUMMYFUNCTION("""COMPUTED_VALUE"""),"Healthcare and Educational Research services involving students who want to study abroad")</f>
        <v>Healthcare and Educational Research services involving students who want to study abroad</v>
      </c>
      <c r="AE151" s="61"/>
      <c r="AF151" s="61" t="str">
        <f>IFERROR(__xludf.DUMMYFUNCTION("""COMPUTED_VALUE"""),"Researcher")</f>
        <v>Researcher</v>
      </c>
      <c r="AG151" s="61" t="str">
        <f>IFERROR(__xludf.DUMMYFUNCTION("""COMPUTED_VALUE"""),"2 years")</f>
        <v>2 years</v>
      </c>
      <c r="AH151" s="61" t="str">
        <f>IFERROR(__xludf.DUMMYFUNCTION("""COMPUTED_VALUE"""),"No")</f>
        <v>No</v>
      </c>
      <c r="AI151" s="61" t="str">
        <f>IFERROR(__xludf.DUMMYFUNCTION("""COMPUTED_VALUE"""),"Educator and Researcher")</f>
        <v>Educator and Researcher</v>
      </c>
      <c r="AJ151" s="61" t="str">
        <f>IFERROR(__xludf.DUMMYFUNCTION("""COMPUTED_VALUE"""),"Yes")</f>
        <v>Yes</v>
      </c>
      <c r="AK151" s="61" t="str">
        <f>IFERROR(__xludf.DUMMYFUNCTION("""COMPUTED_VALUE"""),"My goal is to empower students to gain meaningful international academic experiences that equip them with global knowledge, skills, and innovative approaches to contribute to Nigeria’s development. Through my work with Migai International, I have seen how"&amp;" access to reliable information and global opportunities can transform young people's futures.
I aim to support students in pursuing specialised education that aligns with Nigeria’s growth priorities, including tourism, healthcare, hospitality, aviation,"&amp;" agriculture, technology, and sustainable development. By encouraging knowledge transfer and the application of international best practices, I hope to contribute to a generation of skilled professionals who can create solutions, strengthen industries, an"&amp;"d support economic growth in Nigeria.
Ultimately, my vision is to bridge global education opportunities with local impact by helping students become catalysts for positive change within their communities.")</f>
        <v>My goal is to empower students to gain meaningful international academic experiences that equip them with global knowledge, skills, and innovative approaches to contribute to Nigeria’s development. Through my work with Migai International, I have seen how access to reliable information and global opportunities can transform young people's futures.
I aim to support students in pursuing specialised education that aligns with Nigeria’s growth priorities, including tourism, healthcare, hospitality, aviation, agriculture, technology, and sustainable development. By encouraging knowledge transfer and the application of international best practices, I hope to contribute to a generation of skilled professionals who can create solutions, strengthen industries, and support economic growth in Nigeria.
Ultimately, my vision is to bridge global education opportunities with local impact by helping students become catalysts for positive change within their communities.</v>
      </c>
      <c r="AL151" s="61" t="str">
        <f>IFERROR(__xludf.DUMMYFUNCTION("""COMPUTED_VALUE"""),"Researcher, Educator, Content Creator and Speaker")</f>
        <v>Researcher, Educator, Content Creator and Speaker</v>
      </c>
      <c r="AM151" s="61" t="str">
        <f>IFERROR(__xludf.DUMMYFUNCTION("""COMPUTED_VALUE"""),"Oluwademilade_Oladipo CV.pdf")</f>
        <v>Oluwademilade_Oladipo CV.pdf</v>
      </c>
      <c r="AN151" s="61" t="str">
        <f>IFERROR(__xludf.DUMMYFUNCTION("""COMPUTED_VALUE"""),"Yes. I believe meaningful change begins with addressing challenges within our immediate communities. In my personal capacity, I founded Migai International, an education access and public information platform created to help students and families navigate"&amp;" international education opportunities through reliable information and guidance. I have used digital platforms to simplify complex processes, raise awareness about scholarships, and help young people make informed decisions about their academic futures. "&amp;"Through research, communication, and community engagement, I aim to reduce information barriers and empower individuals to access opportunities that can contribute to Nigeria’s social and economic development.")</f>
        <v>Yes. I believe meaningful change begins with addressing challenges within our immediate communities. In my personal capacity, I founded Migai International, an education access and public information platform created to help students and families navigate international education opportunities through reliable information and guidance. I have used digital platforms to simplify complex processes, raise awareness about scholarships, and help young people make informed decisions about their academic futures. Through research, communication, and community engagement, I aim to reduce information barriers and empower individuals to access opportunities that can contribute to Nigeria’s social and economic development.</v>
      </c>
      <c r="AO151" s="61" t="str">
        <f>IFERROR(__xludf.DUMMYFUNCTION("""COMPUTED_VALUE"""),"I believe Nigeria is one of the most diplomatically significant countries in the world due to its population, economic potential, cultural influence, and strategic role in Africa. As Africa’s largest population and one of its largest economies, Nigeria pl"&amp;"ays an important role in regional stability, trade, peacekeeping, and international cooperation. Its influence extends through organisations such as the African Union and the United Nations. Beyond its resources, Nigeria’s young population presents opport"&amp;"unities for innovation, entrepreneurship, and sustainable development. Strengthening Nigeria’s global partnerships and human capital development can contribute significantly to Africa’s growth and its relationship with the wider world.")</f>
        <v>I believe Nigeria is one of the most diplomatically significant countries in the world due to its population, economic potential, cultural influence, and strategic role in Africa. As Africa’s largest population and one of its largest economies, Nigeria plays an important role in regional stability, trade, peacekeeping, and international cooperation. Its influence extends through organisations such as the African Union and the United Nations. Beyond its resources, Nigeria’s young population presents opportunities for innovation, entrepreneurship, and sustainable development. Strengthening Nigeria’s global partnerships and human capital development can contribute significantly to Africa’s growth and its relationship with the wider world.</v>
      </c>
      <c r="AP151" s="61" t="str">
        <f>IFERROR(__xludf.DUMMYFUNCTION("""COMPUTED_VALUE"""),"Youth play an important role in diplomacy because they represent the future of global cooperation, innovation, and cross-cultural understanding. In an increasingly connected world, young people influence how nations interact through education, technology,"&amp;" entrepreneurship, social movements, and digital communication.
This is particularly significant for Nigeria, where young people represent a large and growing proportion of the population. As Nigeria’s future workforce, innovators, and global representat"&amp;"ives, Nigerian youth have the potential to shape the country’s economic development, international relationships, and global image. However, achieving this requires access to knowledge, skills, and opportunities that encourage responsible global engagemen"&amp;"t.
I relate strongly to the idea of public diplomacy because my work with Migai International focuses on using information and communication to connect young people with global education opportunities. By sharing accurate information about international "&amp;"study pathways, scholarships, and cultural exchange, I help create bridges between individuals, institutions, and countries. I believe education is one of the strongest forms of public diplomacy because it enables people from different backgrounds to deve"&amp;"lop mutual understanding and build lasting international relationships.
As a young Nigerian, I see my role as contributing to a more informed and globally connected generation. By empowering students with knowledge and encouraging responsible engagement "&amp;"with international opportunities, I hope to strengthen cross-cultural relationships and contribute to Nigeria’s positive representation on the global stage.")</f>
        <v>Youth play an important role in diplomacy because they represent the future of global cooperation, innovation, and cross-cultural understanding. In an increasingly connected world, young people influence how nations interact through education, technology, entrepreneurship, social movements, and digital communication.
This is particularly significant for Nigeria, where young people represent a large and growing proportion of the population. As Nigeria’s future workforce, innovators, and global representatives, Nigerian youth have the potential to shape the country’s economic development, international relationships, and global image. However, achieving this requires access to knowledge, skills, and opportunities that encourage responsible global engagement.
I relate strongly to the idea of public diplomacy because my work with Migai International focuses on using information and communication to connect young people with global education opportunities. By sharing accurate information about international study pathways, scholarships, and cultural exchange, I help create bridges between individuals, institutions, and countries. I believe education is one of the strongest forms of public diplomacy because it enables people from different backgrounds to develop mutual understanding and build lasting international relationships.
As a young Nigerian, I see my role as contributing to a more informed and globally connected generation. By empowering students with knowledge and encouraging responsible engagement with international opportunities, I hope to strengthen cross-cultural relationships and contribute to Nigeria’s positive representation on the global stage.</v>
      </c>
      <c r="AQ151" s="61" t="str">
        <f>IFERROR(__xludf.DUMMYFUNCTION("""COMPUTED_VALUE"""),"Passion is the strong sense of purpose and commitment that motivates individuals to pursue meaningful goals, even when challenges arise. For me, passion is the desire to create opportunities and contribute to positive change through knowledge, education, "&amp;"and empowerment.
My passion for improving access to reliable educational opportunities has guided my journey from studying Economics to establishing an educational Platform, where I help students and families better understand international education pat"&amp;"hways. This passion has encouraged me to continuously learn, research, communicate, and develop solutions that address information barriers faced by young people.
Passion helps me achieve my goals by providing the motivation, resilience, and dedication n"&amp;"eeded to turn ideas into action. It keeps me focused on my long-term vision of supporting youth development, strengthening global connections, and contributing to Nigeria’s growth through education, skills development, and knowledge transfer.")</f>
        <v>Passion is the strong sense of purpose and commitment that motivates individuals to pursue meaningful goals, even when challenges arise. For me, passion is the desire to create opportunities and contribute to positive change through knowledge, education, and empowerment.
My passion for improving access to reliable educational opportunities has guided my journey from studying Economics to establishing an educational Platform, where I help students and families better understand international education pathways. This passion has encouraged me to continuously learn, research, communicate, and develop solutions that address information barriers faced by young people.
Passion helps me achieve my goals by providing the motivation, resilience, and dedication needed to turn ideas into action. It keeps me focused on my long-term vision of supporting youth development, strengthening global connections, and contributing to Nigeria’s growth through education, skills development, and knowledge transfer.</v>
      </c>
      <c r="AR151" s="61" t="str">
        <f>IFERROR(__xludf.DUMMYFUNCTION("""COMPUTED_VALUE"""),"Yes, I consider myself a creative person, especially in the way I communicate ideas and connect with people. I believe creativity is not only about creating something visually appealing but also about finding effective ways to deliver messages that inspir"&amp;"e understanding and action.
Through my work on Social Platforms, I apply creativity every day when developing educational content for students and families interested in international opportunities. Although the information I share is valuable and can be"&amp;"nefit a wide audience, I understand that how a message is presented determines whether people engage with it. I therefore think strategically about the structure, language, visuals, and storytelling approach of each piece of content to ensure that my audi"&amp;"ence remains interested and receives the intended message.
This ability to combine creativity with strategy can be transformed into an effective public diplomacy approach by helping organisations and countries communicate their values, culture, and oppor"&amp;"tunities in ways that resonate with diverse audiences. Through digital storytelling, educational campaigns, and authentic engagement, creative communication can build trust, encourage cross-cultural understanding, and strengthen relationships between comm"&amp;"unities and nations.")</f>
        <v>Yes, I consider myself a creative person, especially in the way I communicate ideas and connect with people. I believe creativity is not only about creating something visually appealing but also about finding effective ways to deliver messages that inspire understanding and action.
Through my work on Social Platforms, I apply creativity every day when developing educational content for students and families interested in international opportunities. Although the information I share is valuable and can benefit a wide audience, I understand that how a message is presented determines whether people engage with it. I therefore think strategically about the structure, language, visuals, and storytelling approach of each piece of content to ensure that my audience remains interested and receives the intended message.
This ability to combine creativity with strategy can be transformed into an effective public diplomacy approach by helping organisations and countries communicate their values, culture, and opportunities in ways that resonate with diverse audiences. Through digital storytelling, educational campaigns, and authentic engagement, creative communication can build trust, encourage cross-cultural understanding, and strengthen relationships between communities and nations.</v>
      </c>
      <c r="AS151" s="61" t="str">
        <f>IFERROR(__xludf.DUMMYFUNCTION("""COMPUTED_VALUE"""),"Yes")</f>
        <v>Yes</v>
      </c>
      <c r="AT151" s="61" t="str">
        <f>IFERROR(__xludf.DUMMYFUNCTION("""COMPUTED_VALUE"""),"Yes")</f>
        <v>Yes</v>
      </c>
      <c r="AU151" s="61" t="str">
        <f>IFERROR(__xludf.DUMMYFUNCTION("""COMPUTED_VALUE"""),"Global Politics, Diplomacy &amp; Identities")</f>
        <v>Global Politics, Diplomacy &amp; Identities</v>
      </c>
      <c r="AV151" s="61" t="str">
        <f>IFERROR(__xludf.DUMMYFUNCTION("""COMPUTED_VALUE"""),"A friend Referal")</f>
        <v>A friend Referal</v>
      </c>
      <c r="AW151" s="61" t="str">
        <f>IFERROR(__xludf.DUMMYFUNCTION("""COMPUTED_VALUE"""),"Global Politics, Diplomacy &amp; Identities")</f>
        <v>Global Politics, Diplomacy &amp; Identities</v>
      </c>
      <c r="AX151" s="66" t="str">
        <f>IFERROR(__xludf.DUMMYFUNCTION("""COMPUTED_VALUE"""),"Yes")</f>
        <v>Yes</v>
      </c>
      <c r="AY151" s="66">
        <f>IFERROR(__xludf.DUMMYFUNCTION("""COMPUTED_VALUE"""),15.99)</f>
        <v>15.99</v>
      </c>
      <c r="AZ151" s="61"/>
      <c r="BA151" s="61"/>
      <c r="BB151" s="61"/>
      <c r="BC151" s="61"/>
      <c r="BD151" s="61"/>
      <c r="BE151" s="61"/>
      <c r="BF151" s="61"/>
      <c r="BG151" s="61"/>
      <c r="BH151" s="61"/>
      <c r="BI151" s="61"/>
      <c r="BJ151" s="61"/>
      <c r="BK151" s="61"/>
      <c r="BL151" s="61"/>
      <c r="BM151" s="61"/>
      <c r="BN151" s="61"/>
      <c r="BO151" s="61"/>
      <c r="BP151" s="61"/>
      <c r="BQ151" s="61"/>
      <c r="BR151" s="61"/>
    </row>
    <row r="152" ht="15.75" customHeight="1">
      <c r="A152" s="61" t="str">
        <f>IFERROR(__xludf.DUMMYFUNCTION("""COMPUTED_VALUE"""),"Partial")</f>
        <v>Partial</v>
      </c>
      <c r="B152" s="62">
        <f>IFERROR(__xludf.DUMMYFUNCTION("""COMPUTED_VALUE"""),178.0)</f>
        <v>178</v>
      </c>
      <c r="C152" s="61" t="str">
        <f>IFERROR(__xludf.DUMMYFUNCTION("""COMPUTED_VALUE"""),"Partial")</f>
        <v>Partial</v>
      </c>
      <c r="D152" s="63" t="str">
        <f>IFERROR(__xludf.DUMMYFUNCTION("""COMPUTED_VALUE"""),"Submitted")</f>
        <v>Submitted</v>
      </c>
      <c r="E152" s="63">
        <f>IFERROR(__xludf.DUMMYFUNCTION("""COMPUTED_VALUE"""),46215.43263888889)</f>
        <v>46215.43264</v>
      </c>
      <c r="F152" s="61" t="str">
        <f>IFERROR(__xludf.DUMMYFUNCTION("""COMPUTED_VALUE"""),"Gizelle Atmadja")</f>
        <v>Gizelle Atmadja</v>
      </c>
      <c r="G152" s="61" t="str">
        <f>IFERROR(__xludf.DUMMYFUNCTION("""COMPUTED_VALUE"""),"Gizelle Clevanka Atmadja")</f>
        <v>Gizelle Clevanka Atmadja</v>
      </c>
      <c r="H152" s="61" t="str">
        <f>IFERROR(__xludf.DUMMYFUNCTION("""COMPUTED_VALUE"""),"gizelle.clevanka@gmail.com")</f>
        <v>gizelle.clevanka@gmail.com</v>
      </c>
      <c r="I152" s="61" t="str">
        <f>IFERROR(__xludf.DUMMYFUNCTION("""COMPUTED_VALUE"""),"gizcle31@uw.edu")</f>
        <v>gizcle31@uw.edu</v>
      </c>
      <c r="J152" s="61" t="str">
        <f>IFERROR(__xludf.DUMMYFUNCTION("""COMPUTED_VALUE"""),"22502 57th ave W, Mountlake Terrace, WA 98043, Washington, United States")</f>
        <v>22502 57th ave W, Mountlake Terrace, WA 98043, Washington, United States</v>
      </c>
      <c r="K152" s="61" t="str">
        <f>IFERROR(__xludf.DUMMYFUNCTION("""COMPUTED_VALUE"""),"American")</f>
        <v>American</v>
      </c>
      <c r="L152" s="64" t="str">
        <f>IFERROR(__xludf.DUMMYFUNCTION("""COMPUTED_VALUE"""),"4257613673")</f>
        <v>4257613673</v>
      </c>
      <c r="M152" s="64">
        <f>IFERROR(__xludf.DUMMYFUNCTION("""COMPUTED_VALUE"""),38868.0)</f>
        <v>38868</v>
      </c>
      <c r="N152" s="61" t="str">
        <f>IFERROR(__xludf.DUMMYFUNCTION("""COMPUTED_VALUE"""),"683257812")</f>
        <v>683257812</v>
      </c>
      <c r="O152" s="61" t="str">
        <f>IFERROR(__xludf.DUMMYFUNCTION("""COMPUTED_VALUE"""),"(+1) 206 532 8580")</f>
        <v>(+1) 206 532 8580</v>
      </c>
      <c r="P152" s="65" t="str">
        <f>IFERROR(__xludf.DUMMYFUNCTION("""COMPUTED_VALUE"""),"www.linkedin.com/in/gizelle-clevanka-020738257")</f>
        <v>www.linkedin.com/in/gizelle-clevanka-020738257</v>
      </c>
      <c r="Q152" s="61" t="str">
        <f>IFERROR(__xludf.DUMMYFUNCTION("""COMPUTED_VALUE"""),"Gizelleclevanka")</f>
        <v>Gizelleclevanka</v>
      </c>
      <c r="R152" s="61"/>
      <c r="S152" s="61" t="str">
        <f>IFERROR(__xludf.DUMMYFUNCTION("""COMPUTED_VALUE"""),"Gizelle Atmadja_US passport scan.pdf")</f>
        <v>Gizelle Atmadja_US passport scan.pdf</v>
      </c>
      <c r="T152" s="61" t="str">
        <f>IFERROR(__xludf.DUMMYFUNCTION("""COMPUTED_VALUE"""),"Screenshot 2026-07-11 at 9.39.58 PM.png")</f>
        <v>Screenshot 2026-07-11 at 9.39.58 PM.png</v>
      </c>
      <c r="U152" s="61" t="str">
        <f>IFERROR(__xludf.DUMMYFUNCTION("""COMPUTED_VALUE"""),"Bachelor of Arts Degree")</f>
        <v>Bachelor of Arts Degree</v>
      </c>
      <c r="V152" s="61" t="str">
        <f>IFERROR(__xludf.DUMMYFUNCTION("""COMPUTED_VALUE"""),"Public Policy &amp; Governance (1); Public Health-Global Health (2)")</f>
        <v>Public Policy &amp; Governance (1); Public Health-Global Health (2)</v>
      </c>
      <c r="W152" s="61" t="str">
        <f>IFERROR(__xludf.DUMMYFUNCTION("""COMPUTED_VALUE"""),"minor: Law, Society, Justice")</f>
        <v>minor: Law, Society, Justice</v>
      </c>
      <c r="X152" s="61" t="str">
        <f>IFERROR(__xludf.DUMMYFUNCTION("""COMPUTED_VALUE"""),"University of Washington")</f>
        <v>University of Washington</v>
      </c>
      <c r="Y152" s="61" t="str">
        <f>IFERROR(__xludf.DUMMYFUNCTION("""COMPUTED_VALUE"""),"Yes")</f>
        <v>Yes</v>
      </c>
      <c r="Z152" s="61" t="str">
        <f>IFERROR(__xludf.DUMMYFUNCTION("""COMPUTED_VALUE"""),"United States of America")</f>
        <v>United States of America</v>
      </c>
      <c r="AA152" s="61" t="str">
        <f>IFERROR(__xludf.DUMMYFUNCTION("""COMPUTED_VALUE"""),"Yes")</f>
        <v>Yes</v>
      </c>
      <c r="AB152" s="61" t="str">
        <f>IFERROR(__xludf.DUMMYFUNCTION("""COMPUTED_VALUE"""),"University of Amsterdam")</f>
        <v>University of Amsterdam</v>
      </c>
      <c r="AC152" s="61" t="str">
        <f>IFERROR(__xludf.DUMMYFUNCTION("""COMPUTED_VALUE"""),"Yes, I completed for my Honors class in University of Washington, I enrolled in class SPH 480: Research Methods in Public Health, where I developed and critiqued survey instruments, rewrote ambiguous and double-barreled questions, and selected appropriate"&amp;" interview and survey strategies to minimize bias. I also learned how to design data collection tools, apply validated survey methods, and improve the quality and accuracy of public health research. Other than that, currently conducting research in the un"&amp;"iversity of Amsterdam as well.")</f>
        <v>Yes, I completed for my Honors class in University of Washington, I enrolled in class SPH 480: Research Methods in Public Health, where I developed and critiqued survey instruments, rewrote ambiguous and double-barreled questions, and selected appropriate interview and survey strategies to minimize bias. I also learned how to design data collection tools, apply validated survey methods, and improve the quality and accuracy of public health research. Other than that, currently conducting research in the university of Amsterdam as well.</v>
      </c>
      <c r="AD152" s="61" t="str">
        <f>IFERROR(__xludf.DUMMYFUNCTION("""COMPUTED_VALUE"""),"Permias Nasional ( Indonesian Students Association in the United States )")</f>
        <v>Permias Nasional ( Indonesian Students Association in the United States )</v>
      </c>
      <c r="AE152" s="65" t="str">
        <f>IFERROR(__xludf.DUMMYFUNCTION("""COMPUTED_VALUE"""),"https://permiasnasional.com")</f>
        <v>https://permiasnasional.com</v>
      </c>
      <c r="AF152" s="61" t="str">
        <f>IFERROR(__xludf.DUMMYFUNCTION("""COMPUTED_VALUE"""),"Director of Organizational Development")</f>
        <v>Director of Organizational Development</v>
      </c>
      <c r="AG152" s="61" t="str">
        <f>IFERROR(__xludf.DUMMYFUNCTION("""COMPUTED_VALUE"""),"2.5 years")</f>
        <v>2.5 years</v>
      </c>
      <c r="AH152" s="61" t="str">
        <f>IFERROR(__xludf.DUMMYFUNCTION("""COMPUTED_VALUE"""),"No")</f>
        <v>No</v>
      </c>
      <c r="AI152" s="61"/>
      <c r="AJ152" s="61" t="str">
        <f>IFERROR(__xludf.DUMMYFUNCTION("""COMPUTED_VALUE"""),"Currently in the making of ""Nusantara Health Bridge""")</f>
        <v>Currently in the making of "Nusantara Health Bridge"</v>
      </c>
      <c r="AK152" s="61" t="str">
        <f>IFERROR(__xludf.DUMMYFUNCTION("""COMPUTED_VALUE"""),"Nusantara Health Bridge works to improve health education and access to community resources for underserved children, students, and families. The organization connects volunteers, healthcare professionals, students, and community organizations in Indonesi"&amp;"a and the United States to create health education programs, mentorship opportunities, and community service projects")</f>
        <v>Nusantara Health Bridge works to improve health education and access to community resources for underserved children, students, and families. The organization connects volunteers, healthcare professionals, students, and community organizations in Indonesia and the United States to create health education programs, mentorship opportunities, and community service projects</v>
      </c>
      <c r="AL152" s="61" t="str">
        <f>IFERROR(__xludf.DUMMYFUNCTION("""COMPUTED_VALUE"""),"Policy Advocate on Health Promotion, Public Health Researcher")</f>
        <v>Policy Advocate on Health Promotion, Public Health Researcher</v>
      </c>
      <c r="AM152" s="61" t="str">
        <f>IFERROR(__xludf.DUMMYFUNCTION("""COMPUTED_VALUE"""),"Gizelle C Atmadja_ Portfolio 2025-2026.pdf, Gizelle C. Atmadja_Resume Public Policy.docx")</f>
        <v>Gizelle C Atmadja_ Portfolio 2025-2026.pdf, Gizelle C. Atmadja_Resume Public Policy.docx</v>
      </c>
      <c r="AN152" s="61" t="str">
        <f>IFERROR(__xludf.DUMMYFUNCTION("""COMPUTED_VALUE"""),"At the age of 16, I began taking college credits in the United States, and then, my entire life shifted to the reason I chose to study Public Policy and Public Health as I wanted to understand why some communities receive more support than others and how "&amp;"systems can be improved. My long-term goal is to build my own foundation that responds to community needs through health education, access, and direct service. I have started taking steps by volunteering with children with disabilities, supporting underse"&amp;"rved patients, teaching students, and helping with clean-water and youth programs. These experiences showed me that change needs both compassion and action. I want to turn what I learn into programs that create lasting impact.")</f>
        <v>At the age of 16, I began taking college credits in the United States, and then, my entire life shifted to the reason I chose to study Public Policy and Public Health as I wanted to understand why some communities receive more support than others and how systems can be improved. My long-term goal is to build my own foundation that responds to community needs through health education, access, and direct service. I have started taking steps by volunteering with children with disabilities, supporting underserved patients, teaching students, and helping with clean-water and youth programs. These experiences showed me that change needs both compassion and action. I want to turn what I learn into programs that create lasting impact.</v>
      </c>
      <c r="AO152" s="61" t="str">
        <f>IFERROR(__xludf.DUMMYFUNCTION("""COMPUTED_VALUE"""),"I believe Indonesia is one of the world’s most diplomatically significant countries because its diversity reflects many of the challenges and strengths of a globalized world. With hundreds of cultures, languages, and identities, Indonesia shows why inclus"&amp;"ion and cultural understanding matter in leadership. It can also connect the Global South and North through ASEAN, international partnerships, and cultural diplomacy. Indonesia’s influence comes not only from political power, but also from its people, tra"&amp;"ditions, and values. Its experience with diversity, migration, digital growth, and social inequality gives Indonesia an important voice in global conversations about cooperation, equity, peace, and sustainable development.")</f>
        <v>I believe Indonesia is one of the world’s most diplomatically significant countries because its diversity reflects many of the challenges and strengths of a globalized world. With hundreds of cultures, languages, and identities, Indonesia shows why inclusion and cultural understanding matter in leadership. It can also connect the Global South and North through ASEAN, international partnerships, and cultural diplomacy. Indonesia’s influence comes not only from political power, but also from its people, traditions, and values. Its experience with diversity, migration, digital growth, and social inequality gives Indonesia an important voice in global conversations about cooperation, equity, peace, and sustainable development.</v>
      </c>
      <c r="AP152" s="61" t="str">
        <f>IFERROR(__xludf.DUMMYFUNCTION("""COMPUTED_VALUE"""),"Young people have an important role in diplomacy because we often create connections before governments do. Through study, community work, digital platforms, and cultural exchange, youth can challenge stereotypes and help people understand one another. Pu"&amp;"blic diplomacy is not only about official meetings. It is also about how people represent their country through everyday actions, conversations, and service. 
I relate to public diplomacy through my work with PERMIAS and the Indonesian community in the U"&amp;"nited States. I have helped connect student organizations, worked with Indonesian diplomatic missions, and shared my experiences with students preparing to study abroad. In these spaces, I learned that representing Indonesia means more than promoting cult"&amp;"ure. It also means listening to different experiences, including concerns about migration, identity, inequality, and belonging.
My studies in Public Policy and Public Health also shape how I view diplomacy. Global problems such as healthcare access, clim"&amp;"ate displacement, and digital inequality cannot be solved by one country alone. Youth can help by bringing fresh ideas and building cooperation across cultures. I hope to use my background to connect Indonesian and international communities while making s"&amp;"ure that voices from vulnerable groups are included in global discussions and future decisions that matter.")</f>
        <v>Young people have an important role in diplomacy because we often create connections before governments do. Through study, community work, digital platforms, and cultural exchange, youth can challenge stereotypes and help people understand one another. Public diplomacy is not only about official meetings. It is also about how people represent their country through everyday actions, conversations, and service. 
I relate to public diplomacy through my work with PERMIAS and the Indonesian community in the United States. I have helped connect student organizations, worked with Indonesian diplomatic missions, and shared my experiences with students preparing to study abroad. In these spaces, I learned that representing Indonesia means more than promoting culture. It also means listening to different experiences, including concerns about migration, identity, inequality, and belonging.
My studies in Public Policy and Public Health also shape how I view diplomacy. Global problems such as healthcare access, climate displacement, and digital inequality cannot be solved by one country alone. Youth can help by bringing fresh ideas and building cooperation across cultures. I hope to use my background to connect Indonesian and international communities while making sure that voices from vulnerable groups are included in global discussions and future decisions that matter.</v>
      </c>
      <c r="AQ152" s="61" t="str">
        <f>IFERROR(__xludf.DUMMYFUNCTION("""COMPUTED_VALUE"""),"Passion is the reason I continue working toward a goal even when the path is difficult or unclear. My passion comes from seeing the needs of communities that are overlooked. It is why I chose to study Public Policy and Public Health. I want to understand "&amp;"both the systems that shape people’s lives and the support communities need.
My experiences with children with disabilities, underserved patients, Indonesian students, and rural clean-water projects have made this passion more personal. They taught me th"&amp;"at meaningful change requires patience, responsibility, and long-term commitment. Passion helps me stay focused because it reminds me that my education has a purpose beyond earning a degree. My long-term goal is to create a foundation that connects health"&amp;", education, and community action. Passion gives me the courage to begin with small steps now while continuing to learn how to build something that can create lasting and fair change.")</f>
        <v>Passion is the reason I continue working toward a goal even when the path is difficult or unclear. My passion comes from seeing the needs of communities that are overlooked. It is why I chose to study Public Policy and Public Health. I want to understand both the systems that shape people’s lives and the support communities need.
My experiences with children with disabilities, underserved patients, Indonesian students, and rural clean-water projects have made this passion more personal. They taught me that meaningful change requires patience, responsibility, and long-term commitment. Passion helps me stay focused because it reminds me that my education has a purpose beyond earning a degree. My long-term goal is to create a foundation that connects health, education, and community action. Passion gives me the courage to begin with small steps now while continuing to learn how to build something that can create lasting and fair change.</v>
      </c>
      <c r="AR152" s="61" t="str">
        <f>IFERROR(__xludf.DUMMYFUNCTION("""COMPUTED_VALUE"""),"Yes, I consider myself creative because I enjoy turning difficult ideas into messages and activities that people can understand and connect with. In public diplomacy, creativity can make cultural exchange feel more personal instead of formal or distant.
I"&amp;" would create a youth-led campaign called “Many Stories, One Nusantara.” It would share short videos, photos, interviews, and community projects from Indonesians with different regional, cultural, religious, and personal backgrounds. The campaign would no"&amp;"t present Indonesia as having only one identity. Instead, it would show how many identities can exist together while still creating a shared sense of belonging.
The project would also address stereotypes, digital bias, and unequal representation. Young p"&amp;"eople from Indonesia and other countries could join online conversations about health, migration, climate change, disability, and education. These discussions would be followed by small collaborative projects, such as health workshops or fundraising for c"&amp;"lean water. My role would be to make sure the stories are respectful, accurate, and inclusive. I would also invite feedback from the communities being represented. This strategy would use Indonesia’s cultural diversity as a form of soft power while buildi"&amp;"ng trust through honest stories, shared learning, direct action, and meaningful cross-cultural relationships over time globally. With the help of CSCD, I hope to be able to achieve my goals with professional mentors leading me through my journey.")</f>
        <v>Yes, I consider myself creative because I enjoy turning difficult ideas into messages and activities that people can understand and connect with. In public diplomacy, creativity can make cultural exchange feel more personal instead of formal or distant.
I would create a youth-led campaign called “Many Stories, One Nusantara.” It would share short videos, photos, interviews, and community projects from Indonesians with different regional, cultural, religious, and personal backgrounds. The campaign would not present Indonesia as having only one identity. Instead, it would show how many identities can exist together while still creating a shared sense of belonging.
The project would also address stereotypes, digital bias, and unequal representation. Young people from Indonesia and other countries could join online conversations about health, migration, climate change, disability, and education. These discussions would be followed by small collaborative projects, such as health workshops or fundraising for clean water. My role would be to make sure the stories are respectful, accurate, and inclusive. I would also invite feedback from the communities being represented. This strategy would use Indonesia’s cultural diversity as a form of soft power while building trust through honest stories, shared learning, direct action, and meaningful cross-cultural relationships over time globally. With the help of CSCD, I hope to be able to achieve my goals with professional mentors leading me through my journey.</v>
      </c>
      <c r="AS152" s="61" t="str">
        <f>IFERROR(__xludf.DUMMYFUNCTION("""COMPUTED_VALUE"""),"Yes")</f>
        <v>Yes</v>
      </c>
      <c r="AT152" s="61" t="str">
        <f>IFERROR(__xludf.DUMMYFUNCTION("""COMPUTED_VALUE"""),"Yes")</f>
        <v>Yes</v>
      </c>
      <c r="AU152" s="61" t="str">
        <f>IFERROR(__xludf.DUMMYFUNCTION("""COMPUTED_VALUE"""),"Global Politics, Diplomacy &amp; Identities")</f>
        <v>Global Politics, Diplomacy &amp; Identities</v>
      </c>
      <c r="AV152" s="61" t="str">
        <f>IFERROR(__xludf.DUMMYFUNCTION("""COMPUTED_VALUE"""),"Scholarships portal")</f>
        <v>Scholarships portal</v>
      </c>
      <c r="AW152" s="61" t="str">
        <f>IFERROR(__xludf.DUMMYFUNCTION("""COMPUTED_VALUE"""),"Multicultural Management: Power Identity and Inclusion in a globalized world by Dr. Francisco Javier Álvarez-Torres")</f>
        <v>Multicultural Management: Power Identity and Inclusion in a globalized world by Dr. Francisco Javier Álvarez-Torres</v>
      </c>
      <c r="AX152" s="66" t="str">
        <f>IFERROR(__xludf.DUMMYFUNCTION("""COMPUTED_VALUE"""),"Yes")</f>
        <v>Yes</v>
      </c>
      <c r="AY152" s="66">
        <f>IFERROR(__xludf.DUMMYFUNCTION("""COMPUTED_VALUE"""),15.99)</f>
        <v>15.99</v>
      </c>
      <c r="AZ152" s="61"/>
      <c r="BA152" s="61"/>
      <c r="BB152" s="61"/>
      <c r="BC152" s="61"/>
      <c r="BD152" s="61"/>
      <c r="BE152" s="61"/>
      <c r="BF152" s="61"/>
      <c r="BG152" s="61"/>
      <c r="BH152" s="61"/>
      <c r="BI152" s="61"/>
      <c r="BJ152" s="61"/>
      <c r="BK152" s="61"/>
      <c r="BL152" s="61"/>
      <c r="BM152" s="61"/>
      <c r="BN152" s="61"/>
      <c r="BO152" s="61"/>
      <c r="BP152" s="61"/>
      <c r="BQ152" s="61"/>
      <c r="BR152" s="61"/>
    </row>
    <row r="153" ht="15.75" customHeight="1">
      <c r="A153" s="61" t="str">
        <f>IFERROR(__xludf.DUMMYFUNCTION("""COMPUTED_VALUE"""),"")</f>
        <v/>
      </c>
      <c r="B153" s="62">
        <f>IFERROR(__xludf.DUMMYFUNCTION("""COMPUTED_VALUE"""),181.0)</f>
        <v>181</v>
      </c>
      <c r="C153" s="61" t="str">
        <f>IFERROR(__xludf.DUMMYFUNCTION("""COMPUTED_VALUE"""),"Self")</f>
        <v>Self</v>
      </c>
      <c r="D153" s="63" t="str">
        <f>IFERROR(__xludf.DUMMYFUNCTION("""COMPUTED_VALUE"""),"Submitted")</f>
        <v>Submitted</v>
      </c>
      <c r="E153" s="63">
        <f>IFERROR(__xludf.DUMMYFUNCTION("""COMPUTED_VALUE"""),46215.73194444444)</f>
        <v>46215.73194</v>
      </c>
      <c r="F153" s="61" t="str">
        <f>IFERROR(__xludf.DUMMYFUNCTION("""COMPUTED_VALUE"""),"Tamim Hossain")</f>
        <v>Tamim Hossain</v>
      </c>
      <c r="G153" s="61" t="str">
        <f>IFERROR(__xludf.DUMMYFUNCTION("""COMPUTED_VALUE"""),"Tamim Hossain")</f>
        <v>Tamim Hossain</v>
      </c>
      <c r="H153" s="61" t="str">
        <f>IFERROR(__xludf.DUMMYFUNCTION("""COMPUTED_VALUE"""),"tamimhossain911078@gmail.com")</f>
        <v>tamimhossain911078@gmail.com</v>
      </c>
      <c r="I153" s="61" t="str">
        <f>IFERROR(__xludf.DUMMYFUNCTION("""COMPUTED_VALUE"""),"tamimhossainpsau1@gmail.com")</f>
        <v>tamimhossainpsau1@gmail.com</v>
      </c>
      <c r="J153" s="61" t="str">
        <f>IFERROR(__xludf.DUMMYFUNCTION("""COMPUTED_VALUE"""),"Banglabazar, Begumganj, Noakhali, Bangladesh")</f>
        <v>Banglabazar, Begumganj, Noakhali, Bangladesh</v>
      </c>
      <c r="K153" s="61" t="str">
        <f>IFERROR(__xludf.DUMMYFUNCTION("""COMPUTED_VALUE"""),"Bangladeshi")</f>
        <v>Bangladeshi</v>
      </c>
      <c r="L153" s="64" t="str">
        <f>IFERROR(__xludf.DUMMYFUNCTION("""COMPUTED_VALUE"""),"01742859971")</f>
        <v>01742859971</v>
      </c>
      <c r="M153" s="64">
        <f>IFERROR(__xludf.DUMMYFUNCTION("""COMPUTED_VALUE"""),37575.0)</f>
        <v>37575</v>
      </c>
      <c r="N153" s="61" t="str">
        <f>IFERROR(__xludf.DUMMYFUNCTION("""COMPUTED_VALUE"""),"A00538286")</f>
        <v>A00538286</v>
      </c>
      <c r="O153" s="61" t="str">
        <f>IFERROR(__xludf.DUMMYFUNCTION("""COMPUTED_VALUE"""),"01832679740")</f>
        <v>01832679740</v>
      </c>
      <c r="P153" s="61"/>
      <c r="Q153" s="61"/>
      <c r="R153" s="65" t="str">
        <f>IFERROR(__xludf.DUMMYFUNCTION("""COMPUTED_VALUE"""),"https://www.facebook.com/m.tamim.hossain.131250")</f>
        <v>https://www.facebook.com/m.tamim.hossain.131250</v>
      </c>
      <c r="S153" s="61" t="str">
        <f>IFERROR(__xludf.DUMMYFUNCTION("""COMPUTED_VALUE"""),"IMG-20230627-WA0001_2.jpg")</f>
        <v>IMG-20230627-WA0001_2.jpg</v>
      </c>
      <c r="T153" s="61" t="str">
        <f>IFERROR(__xludf.DUMMYFUNCTION("""COMPUTED_VALUE"""),"1751725500879.jpg")</f>
        <v>1751725500879.jpg</v>
      </c>
      <c r="U153" s="61" t="str">
        <f>IFERROR(__xludf.DUMMYFUNCTION("""COMPUTED_VALUE"""),"Bachelor's completed, Now pursing a diploma from Saudi Arabia")</f>
        <v>Bachelor's completed, Now pursing a diploma from Saudi Arabia</v>
      </c>
      <c r="V153" s="61" t="str">
        <f>IFERROR(__xludf.DUMMYFUNCTION("""COMPUTED_VALUE"""),"Diploma in Arabic language, Saudi Arabia")</f>
        <v>Diploma in Arabic language, Saudi Arabia</v>
      </c>
      <c r="W153" s="61" t="str">
        <f>IFERROR(__xludf.DUMMYFUNCTION("""COMPUTED_VALUE"""),"Islamic studies")</f>
        <v>Islamic studies</v>
      </c>
      <c r="X153" s="61" t="str">
        <f>IFERROR(__xludf.DUMMYFUNCTION("""COMPUTED_VALUE"""),"Islamic Arabic University, Dhaka, Bangladesh")</f>
        <v>Islamic Arabic University, Dhaka, Bangladesh</v>
      </c>
      <c r="Y153" s="61" t="str">
        <f>IFERROR(__xludf.DUMMYFUNCTION("""COMPUTED_VALUE"""),"Yes")</f>
        <v>Yes</v>
      </c>
      <c r="Z153" s="61" t="str">
        <f>IFERROR(__xludf.DUMMYFUNCTION("""COMPUTED_VALUE"""),"Bangladesh, and Saudi Arabia")</f>
        <v>Bangladesh, and Saudi Arabia</v>
      </c>
      <c r="AA153" s="61" t="str">
        <f>IFERROR(__xludf.DUMMYFUNCTION("""COMPUTED_VALUE"""),"No")</f>
        <v>No</v>
      </c>
      <c r="AB153" s="61"/>
      <c r="AC153" s="61" t="str">
        <f>IFERROR(__xludf.DUMMYFUNCTION("""COMPUTED_VALUE"""),"Yes. I am familiar with academic research through my academic studies. Although I have not conducted formal research yet, I understand the basic principles of research, including literature review, data collection, analysis, and academic writing. I am eag"&amp;"er to develop my research skills further.")</f>
        <v>Yes. I am familiar with academic research through my academic studies. Although I have not conducted formal research yet, I understand the basic principles of research, including literature review, data collection, analysis, and academic writing. I am eager to develop my research skills further.</v>
      </c>
      <c r="AD153" s="61" t="str">
        <f>IFERROR(__xludf.DUMMYFUNCTION("""COMPUTED_VALUE"""),"Yes. I have volunteered with BD Clean, Chowmuhani Blood Foundation, UN Online Volunteers, and several local volunteer organizations. Through these organizations, I have participated in community clean-up campaigns, blood donation awareness and support act"&amp;"ivities, online volunteering initiatives, and various social service programs. These experiences have strengthened my leadership, teamwork, communication, and sense of social responsibility.")</f>
        <v>Yes. I have volunteered with BD Clean, Chowmuhani Blood Foundation, UN Online Volunteers, and several local volunteer organizations. Through these organizations, I have participated in community clean-up campaigns, blood donation awareness and support activities, online volunteering initiatives, and various social service programs. These experiences have strengthened my leadership, teamwork, communication, and sense of social responsibility.</v>
      </c>
      <c r="AE153" s="65" t="str">
        <f>IFERROR(__xludf.DUMMYFUNCTION("""COMPUTED_VALUE"""),"https://N/A")</f>
        <v>https://N/A</v>
      </c>
      <c r="AF153" s="61" t="str">
        <f>IFERROR(__xludf.DUMMYFUNCTION("""COMPUTED_VALUE"""),"My role as a volunteer involved participating in a variety of community service activities. With BD Clean, I took part in environmental clean-up campaigns and promoted cleanliness in public spaces. At Chowmuhani Blood Foundation, I assisted in blood donat"&amp;"ion initiatives by helping connect blood donors with patients in critical need. I also participated in winter clothing distribution for underprivileged people and food distribution programs for those facing hunger.  In addition, I worked with several loca"&amp;"l volunteer organizations, where I supported community welfare activities such as distributing medicines during the COVID-19 pandemic, providing relief and assistance to flood-affected communities, promoting handwashing and public health awareness, and pa"&amp;"rticipating in other humanitarian and social service initiatives.")</f>
        <v>My role as a volunteer involved participating in a variety of community service activities. With BD Clean, I took part in environmental clean-up campaigns and promoted cleanliness in public spaces. At Chowmuhani Blood Foundation, I assisted in blood donation initiatives by helping connect blood donors with patients in critical need. I also participated in winter clothing distribution for underprivileged people and food distribution programs for those facing hunger.  In addition, I worked with several local volunteer organizations, where I supported community welfare activities such as distributing medicines during the COVID-19 pandemic, providing relief and assistance to flood-affected communities, promoting handwashing and public health awareness, and participating in other humanitarian and social service initiatives.</v>
      </c>
      <c r="AG153" s="61" t="str">
        <f>IFERROR(__xludf.DUMMYFUNCTION("""COMPUTED_VALUE"""),"From 2020, 5 years")</f>
        <v>From 2020, 5 years</v>
      </c>
      <c r="AH153" s="61" t="str">
        <f>IFERROR(__xludf.DUMMYFUNCTION("""COMPUTED_VALUE"""),"No")</f>
        <v>No</v>
      </c>
      <c r="AI153" s="61"/>
      <c r="AJ153" s="61" t="str">
        <f>IFERROR(__xludf.DUMMYFUNCTION("""COMPUTED_VALUE"""),"Yes,Banglabazar Youth Society")</f>
        <v>Yes,Banglabazar Youth Society</v>
      </c>
      <c r="AK153" s="61" t="str">
        <f>IFERROR(__xludf.DUMMYFUNCTION("""COMPUTED_VALUE"""),"In 2020, I founded Banglabazar Youth Society, a community-based volunteer organization dedicated to serving vulnerable and underprivileged people. As the Founder and President, my vision has been to build a compassionate community where young people work "&amp;"together to address social challenges and promote humanitarian values.
Our organization focuses on supporting financially disadvantaged families, assisting sick individuals in accessing medical care, organizing blood donation campaigns and connecting pat"&amp;"ients with volunteer donors, and raising public awareness against drug abuse and other harmful social issues. We also encourage youth participation in community service and civic responsibility through various volunteer initiatives.
Growing up in a flood"&amp;"-prone region of Bangladesh, I have witnessed the devastating impact of natural disasters on people's lives. This experience has inspired me to make disaster response and recovery one of our organization's key priorities. In the future, I plan to expand o"&amp;"ur efforts by providing emergency food, clean water, medicines, and essential relief supplies during floods, as well as supporting the rehabilitation and long-term recovery of affected families.
My long-term vision is to develop Banglabazar Youth Society"&amp;" into a nationally recognized and internationally respected volunteer organization that empowers communities, promotes humanitarian action, and creates sustainable social impact through youth leadership and service.")</f>
        <v>In 2020, I founded Banglabazar Youth Society, a community-based volunteer organization dedicated to serving vulnerable and underprivileged people. As the Founder and President, my vision has been to build a compassionate community where young people work together to address social challenges and promote humanitarian values.
Our organization focuses on supporting financially disadvantaged families, assisting sick individuals in accessing medical care, organizing blood donation campaigns and connecting patients with volunteer donors, and raising public awareness against drug abuse and other harmful social issues. We also encourage youth participation in community service and civic responsibility through various volunteer initiatives.
Growing up in a flood-prone region of Bangladesh, I have witnessed the devastating impact of natural disasters on people's lives. This experience has inspired me to make disaster response and recovery one of our organization's key priorities. In the future, I plan to expand our efforts by providing emergency food, clean water, medicines, and essential relief supplies during floods, as well as supporting the rehabilitation and long-term recovery of affected families.
My long-term vision is to develop Banglabazar Youth Society into a nationally recognized and internationally respected volunteer organization that empowers communities, promotes humanitarian action, and creates sustainable social impact through youth leadership and service.</v>
      </c>
      <c r="AL153" s="61" t="str">
        <f>IFERROR(__xludf.DUMMYFUNCTION("""COMPUTED_VALUE"""),"I am a scholar, and also a writer,")</f>
        <v>I am a scholar, and also a writer,</v>
      </c>
      <c r="AM153" s="61" t="str">
        <f>IFERROR(__xludf.DUMMYFUNCTION("""COMPUTED_VALUE"""),"Document (6).pdf")</f>
        <v>Document (6).pdf</v>
      </c>
      <c r="AN153" s="61" t="str">
        <f>IFERROR(__xludf.DUMMYFUNCTION("""COMPUTED_VALUE"""),"Yes. I have always believed that meaningful change begins with small actions. In 2020, I founded Banglabazar Youth Society to encourage young people to serve their communities through volunteerism. I have participated in blood donation campaigns, environm"&amp;"ental clean-up initiatives, and awareness programs against drug abuse. I have also supported vulnerable families by helping distribute food, clothing, and emergency assistance, especially during floods and other crises. These experiences have taught me th"&amp;"at lasting impact is created through compassion, teamwork, and consistent service. My goal is to continue expanding these efforts and inspire more young people to become active changemakers.")</f>
        <v>Yes. I have always believed that meaningful change begins with small actions. In 2020, I founded Banglabazar Youth Society to encourage young people to serve their communities through volunteerism. I have participated in blood donation campaigns, environmental clean-up initiatives, and awareness programs against drug abuse. I have also supported vulnerable families by helping distribute food, clothing, and emergency assistance, especially during floods and other crises. These experiences have taught me that lasting impact is created through compassion, teamwork, and consistent service. My goal is to continue expanding these efforts and inspire more young people to become active changemakers.</v>
      </c>
      <c r="AO153" s="61" t="str">
        <f>IFERROR(__xludf.DUMMYFUNCTION("""COMPUTED_VALUE"""),"I believe no single country is the most diplomatically significant in every respect, as global diplomacy depends on cooperation among many nations. However, the United States plays a particularly influential role because of its global leadership, economic"&amp;" strength, military capabilities, and active involvement in international organizations. At the same time, countries such as China, Saudi Arabia, Türkiye, and members of the European Union also make major contributions to diplomacy through trade, mediatio"&amp;"n, development, and regional cooperation. In today's interconnected world, effective diplomacy is built on dialogue, mutual respect, and collaboration rather than the influence of any one nation alone.")</f>
        <v>I believe no single country is the most diplomatically significant in every respect, as global diplomacy depends on cooperation among many nations. However, the United States plays a particularly influential role because of its global leadership, economic strength, military capabilities, and active involvement in international organizations. At the same time, countries such as China, Saudi Arabia, Türkiye, and members of the European Union also make major contributions to diplomacy through trade, mediation, development, and regional cooperation. In today's interconnected world, effective diplomacy is built on dialogue, mutual respect, and collaboration rather than the influence of any one nation alone.</v>
      </c>
      <c r="AP153" s="61" t="str">
        <f>IFERROR(__xludf.DUMMYFUNCTION("""COMPUTED_VALUE"""),"I believe young people are one of the most important driving forces in modern diplomacy. They bring fresh ideas, creativity, energy, and a strong commitment to solving global challenges. Through dialogue, volunteerism, cultural exchange, and digital commu"&amp;"nication, youth can build mutual understanding, reduce prejudice, and strengthen relationships between nations. They are not only the future of diplomacy but also active contributors to peace, sustainable development, and international cooperation today.
"&amp;"
To me, public diplomacy is about connecting people beyond governments. It is the process of building trust, respect, and understanding through education, culture, humanitarian service, and meaningful communication. I strongly relate to this idea because "&amp;"I have dedicated myself to serving my community. In 2020, I founded Banglabazar Youth Society, where I have worked with volunteers to support vulnerable families, organize blood donation initiatives, promote environmental cleanliness, and raise awareness "&amp;"about social issues such as drug abuse.
These experiences have taught me that genuine service creates trust and strengthens communities. I believe the same principle applies internationally. By listening to others, respecting cultural diversity, and work"&amp;"ing together on shared challenges, young people can become effective public diplomacy ambassadors who promote peace, cooperation, and positive change across borders.")</f>
        <v>I believe young people are one of the most important driving forces in modern diplomacy. They bring fresh ideas, creativity, energy, and a strong commitment to solving global challenges. Through dialogue, volunteerism, cultural exchange, and digital communication, youth can build mutual understanding, reduce prejudice, and strengthen relationships between nations. They are not only the future of diplomacy but also active contributors to peace, sustainable development, and international cooperation today.
To me, public diplomacy is about connecting people beyond governments. It is the process of building trust, respect, and understanding through education, culture, humanitarian service, and meaningful communication. I strongly relate to this idea because I have dedicated myself to serving my community. In 2020, I founded Banglabazar Youth Society, where I have worked with volunteers to support vulnerable families, organize blood donation initiatives, promote environmental cleanliness, and raise awareness about social issues such as drug abuse.
These experiences have taught me that genuine service creates trust and strengthens communities. I believe the same principle applies internationally. By listening to others, respecting cultural diversity, and working together on shared challenges, young people can become effective public diplomacy ambassadors who promote peace, cooperation, and positive change across borders.</v>
      </c>
      <c r="AQ153" s="61" t="str">
        <f>IFERROR(__xludf.DUMMYFUNCTION("""COMPUTED_VALUE"""),"To me, passion is a deep sense of purpose and commitment that motivates a person to work consistently toward their goals. It is the inner drive that helps people remain determined even in the face of challenges and setbacks. Passion gives direction, disci"&amp;"pline, and the desire to continuously learn and improve.
My passion is to serve society, promote positive change, and contribute to international understanding through education and community service. This passion inspired me to establish Banglabazar You"&amp;"th Society in 2020, where I have worked with volunteers on blood donation campaigns, environmental clean-up initiatives, support for underprivileged families, and awareness programs against social issues such as drug abuse.
I believe that passion transfo"&amp;"rms ideas into action. It helps me stay focused, overcome difficulties, and continue working toward my long-term goal of becoming a leader who creates meaningful social impact.")</f>
        <v>To me, passion is a deep sense of purpose and commitment that motivates a person to work consistently toward their goals. It is the inner drive that helps people remain determined even in the face of challenges and setbacks. Passion gives direction, discipline, and the desire to continuously learn and improve.
My passion is to serve society, promote positive change, and contribute to international understanding through education and community service. This passion inspired me to establish Banglabazar Youth Society in 2020, where I have worked with volunteers on blood donation campaigns, environmental clean-up initiatives, support for underprivileged families, and awareness programs against social issues such as drug abuse.
I believe that passion transforms ideas into action. It helps me stay focused, overcome difficulties, and continue working toward my long-term goal of becoming a leader who creates meaningful social impact.</v>
      </c>
      <c r="AR153" s="61" t="str">
        <f>IFERROR(__xludf.DUMMYFUNCTION("""COMPUTED_VALUE"""),"Yes, I consider myself a creative person because I enjoy finding practical solutions to social challenges and bringing people together for a common purpose. Creativity, to me, is not only about generating new ideas but also about transforming simple ideas"&amp;" into meaningful actions that benefit society.
In 2020, I founded Banglabazar Youth Society, where I worked with volunteers to organize blood donation campaigns, environmental clean-up activities, humanitarian assistance, and awareness programs against d"&amp;"rug abuse. These experiences taught me that creativity becomes truly valuable when it inspires people to participate and serve their communities.
I believe creativity can become an effective public diplomacy strategy by promoting mutual understanding, cu"&amp;"ltural exchange, and people-to-people connections. Social media, volunteer programs, youth exchanges, storytelling, and community initiatives can help bridge cultural differences and build trust across borders. When young people share their experiences, v"&amp;"alues, and traditions with respect and openness, they create positive impressions of their countries and strengthen international friendships.
As a young leader, I hope to use creativity, communication, and community service to promote peace, cooperation"&amp;", and cross-cultural understanding. I believe that genuine human connections are the foundation of successful public diplomacy and lasting international relationships.")</f>
        <v>Yes, I consider myself a creative person because I enjoy finding practical solutions to social challenges and bringing people together for a common purpose. Creativity, to me, is not only about generating new ideas but also about transforming simple ideas into meaningful actions that benefit society.
In 2020, I founded Banglabazar Youth Society, where I worked with volunteers to organize blood donation campaigns, environmental clean-up activities, humanitarian assistance, and awareness programs against drug abuse. These experiences taught me that creativity becomes truly valuable when it inspires people to participate and serve their communities.
I believe creativity can become an effective public diplomacy strategy by promoting mutual understanding, cultural exchange, and people-to-people connections. Social media, volunteer programs, youth exchanges, storytelling, and community initiatives can help bridge cultural differences and build trust across borders. When young people share their experiences, values, and traditions with respect and openness, they create positive impressions of their countries and strengthen international friendships.
As a young leader, I hope to use creativity, communication, and community service to promote peace, cooperation, and cross-cultural understanding. I believe that genuine human connections are the foundation of successful public diplomacy and lasting international relationships.</v>
      </c>
      <c r="AS153" s="61" t="str">
        <f>IFERROR(__xludf.DUMMYFUNCTION("""COMPUTED_VALUE"""),"No")</f>
        <v>No</v>
      </c>
      <c r="AT153" s="61" t="str">
        <f>IFERROR(__xludf.DUMMYFUNCTION("""COMPUTED_VALUE"""),"No")</f>
        <v>No</v>
      </c>
      <c r="AU153" s="61" t="str">
        <f>IFERROR(__xludf.DUMMYFUNCTION("""COMPUTED_VALUE"""),"International Public Service Relations")</f>
        <v>International Public Service Relations</v>
      </c>
      <c r="AV153" s="61" t="str">
        <f>IFERROR(__xludf.DUMMYFUNCTION("""COMPUTED_VALUE"""),"Scholarship portel")</f>
        <v>Scholarship portel</v>
      </c>
      <c r="AW153" s="61" t="str">
        <f>IFERROR(__xludf.DUMMYFUNCTION("""COMPUTED_VALUE"""),"The program module that interests me the most is Public Diplomacy and Cross-Cultural Communication. I believe that understanding different cultures, values, and perspectives is essential for building trust and strengthening international relationships. As"&amp;" the founder of Banglabazar Youth Society and an active volunteer, I have learned that meaningful dialogue and community engagement can bring people together and create positive social change.  I am eager to learn from experts, exchange ideas with partici"&amp;"pants from diverse backgrounds, and develop practical skills in communication, leadership, and diplomacy. I believe this module will help me become a more effective youth leader and enable me to represent my community and country while promoting peace, mu"&amp;"tual understanding, and international cooperation.")</f>
        <v>The program module that interests me the most is Public Diplomacy and Cross-Cultural Communication. I believe that understanding different cultures, values, and perspectives is essential for building trust and strengthening international relationships. As the founder of Banglabazar Youth Society and an active volunteer, I have learned that meaningful dialogue and community engagement can bring people together and create positive social change.  I am eager to learn from experts, exchange ideas with participants from diverse backgrounds, and develop practical skills in communication, leadership, and diplomacy. I believe this module will help me become a more effective youth leader and enable me to represent my community and country while promoting peace, mutual understanding, and international cooperation.</v>
      </c>
      <c r="AX153" s="66" t="str">
        <f>IFERROR(__xludf.DUMMYFUNCTION("""COMPUTED_VALUE"""),"Yes")</f>
        <v>Yes</v>
      </c>
      <c r="AY153" s="66">
        <f>IFERROR(__xludf.DUMMYFUNCTION("""COMPUTED_VALUE"""),15.99)</f>
        <v>15.99</v>
      </c>
      <c r="AZ153" s="61"/>
      <c r="BA153" s="61"/>
      <c r="BB153" s="61"/>
      <c r="BC153" s="61"/>
      <c r="BD153" s="61"/>
      <c r="BE153" s="61"/>
      <c r="BF153" s="61"/>
      <c r="BG153" s="61"/>
      <c r="BH153" s="61"/>
      <c r="BI153" s="61"/>
      <c r="BJ153" s="61"/>
      <c r="BK153" s="61"/>
      <c r="BL153" s="61"/>
      <c r="BM153" s="61"/>
      <c r="BN153" s="61"/>
      <c r="BO153" s="61"/>
      <c r="BP153" s="61"/>
      <c r="BQ153" s="61"/>
      <c r="BR153" s="61"/>
    </row>
    <row r="154" ht="15.75" customHeight="1">
      <c r="A154" s="61" t="str">
        <f>IFERROR(__xludf.DUMMYFUNCTION("""COMPUTED_VALUE"""),"Full")</f>
        <v>Full</v>
      </c>
      <c r="B154" s="62">
        <f>IFERROR(__xludf.DUMMYFUNCTION("""COMPUTED_VALUE"""),182.0)</f>
        <v>182</v>
      </c>
      <c r="C154" s="61" t="str">
        <f>IFERROR(__xludf.DUMMYFUNCTION("""COMPUTED_VALUE"""),"Full")</f>
        <v>Full</v>
      </c>
      <c r="D154" s="63" t="str">
        <f>IFERROR(__xludf.DUMMYFUNCTION("""COMPUTED_VALUE"""),"Submitted")</f>
        <v>Submitted</v>
      </c>
      <c r="E154" s="63">
        <f>IFERROR(__xludf.DUMMYFUNCTION("""COMPUTED_VALUE"""),46215.79166666666)</f>
        <v>46215.79167</v>
      </c>
      <c r="F154" s="61" t="str">
        <f>IFERROR(__xludf.DUMMYFUNCTION("""COMPUTED_VALUE"""),"Calvin Goh")</f>
        <v>Calvin Goh</v>
      </c>
      <c r="G154" s="61" t="str">
        <f>IFERROR(__xludf.DUMMYFUNCTION("""COMPUTED_VALUE"""),"Goh Chen How Calvin")</f>
        <v>Goh Chen How Calvin</v>
      </c>
      <c r="H154" s="61" t="str">
        <f>IFERROR(__xludf.DUMMYFUNCTION("""COMPUTED_VALUE"""),"gohchenhowcalvin@gmail.com")</f>
        <v>gohchenhowcalvin@gmail.com</v>
      </c>
      <c r="I154" s="61" t="str">
        <f>IFERROR(__xludf.DUMMYFUNCTION("""COMPUTED_VALUE"""),"gohchenhowcalvin@gmail.com")</f>
        <v>gohchenhowcalvin@gmail.com</v>
      </c>
      <c r="J154" s="61" t="str">
        <f>IFERROR(__xludf.DUMMYFUNCTION("""COMPUTED_VALUE"""),"31 Boon lay Drive #10-01, #1001, Singapore")</f>
        <v>31 Boon lay Drive #10-01, #1001, Singapore</v>
      </c>
      <c r="K154" s="61" t="str">
        <f>IFERROR(__xludf.DUMMYFUNCTION("""COMPUTED_VALUE"""),"Singaporeans")</f>
        <v>Singaporeans</v>
      </c>
      <c r="L154" s="64" t="str">
        <f>IFERROR(__xludf.DUMMYFUNCTION("""COMPUTED_VALUE"""),"+6597656297")</f>
        <v>+6597656297</v>
      </c>
      <c r="M154" s="64">
        <f>IFERROR(__xludf.DUMMYFUNCTION("""COMPUTED_VALUE"""),34285.0)</f>
        <v>34285</v>
      </c>
      <c r="N154" s="61" t="str">
        <f>IFERROR(__xludf.DUMMYFUNCTION("""COMPUTED_VALUE"""),"K4883571K")</f>
        <v>K4883571K</v>
      </c>
      <c r="O154" s="61" t="str">
        <f>IFERROR(__xludf.DUMMYFUNCTION("""COMPUTED_VALUE"""),"+6597656297")</f>
        <v>+6597656297</v>
      </c>
      <c r="P154" s="65" t="str">
        <f>IFERROR(__xludf.DUMMYFUNCTION("""COMPUTED_VALUE"""),"https://www.linkedin.com/in/calvingohch/")</f>
        <v>https://www.linkedin.com/in/calvingohch/</v>
      </c>
      <c r="Q154" s="61"/>
      <c r="R154" s="61"/>
      <c r="S154" s="61" t="str">
        <f>IFERROR(__xludf.DUMMYFUNCTION("""COMPUTED_VALUE"""),"8800e7fe-e996-4405-a5f9-8526b7f31967.jpg")</f>
        <v>8800e7fe-e996-4405-a5f9-8526b7f31967.jpg</v>
      </c>
      <c r="T154" s="61" t="str">
        <f>IFERROR(__xludf.DUMMYFUNCTION("""COMPUTED_VALUE"""),"1780394264832.png")</f>
        <v>1780394264832.png</v>
      </c>
      <c r="U154" s="61" t="str">
        <f>IFERROR(__xludf.DUMMYFUNCTION("""COMPUTED_VALUE"""),"Master’s Degree")</f>
        <v>Master’s Degree</v>
      </c>
      <c r="V154" s="61" t="str">
        <f>IFERROR(__xludf.DUMMYFUNCTION("""COMPUTED_VALUE"""),"Global MBA (In Progress)")</f>
        <v>Global MBA (In Progress)</v>
      </c>
      <c r="W154" s="61" t="str">
        <f>IFERROR(__xludf.DUMMYFUNCTION("""COMPUTED_VALUE"""),"Business Administration, Leadership and Strategy")</f>
        <v>Business Administration, Leadership and Strategy</v>
      </c>
      <c r="X154" s="61" t="str">
        <f>IFERROR(__xludf.DUMMYFUNCTION("""COMPUTED_VALUE"""),"Fudan University")</f>
        <v>Fudan University</v>
      </c>
      <c r="Y154" s="61" t="str">
        <f>IFERROR(__xludf.DUMMYFUNCTION("""COMPUTED_VALUE"""),"Yes")</f>
        <v>Yes</v>
      </c>
      <c r="Z154" s="61" t="str">
        <f>IFERROR(__xludf.DUMMYFUNCTION("""COMPUTED_VALUE"""),"China")</f>
        <v>China</v>
      </c>
      <c r="AA154" s="61" t="str">
        <f>IFERROR(__xludf.DUMMYFUNCTION("""COMPUTED_VALUE"""),"No")</f>
        <v>No</v>
      </c>
      <c r="AB154" s="61"/>
      <c r="AC154" s="61" t="str">
        <f>IFERROR(__xludf.DUMMYFUNCTION("""COMPUTED_VALUE"""),"Yes")</f>
        <v>Yes</v>
      </c>
      <c r="AD154" s="61" t="str">
        <f>IFERROR(__xludf.DUMMYFUNCTION("""COMPUTED_VALUE"""),"Odyssey Dance Theatre Ltd.; People’s Action Party (Volunteer); JurongHealth Fund (Community Supporter)")</f>
        <v>Odyssey Dance Theatre Ltd.; People’s Action Party (Volunteer); JurongHealth Fund (Community Supporter)</v>
      </c>
      <c r="AE154" s="61"/>
      <c r="AF154" s="61"/>
      <c r="AG154" s="61"/>
      <c r="AH154" s="61" t="str">
        <f>IFERROR(__xludf.DUMMYFUNCTION("""COMPUTED_VALUE"""),"Yes")</f>
        <v>Yes</v>
      </c>
      <c r="AI154" s="61" t="str">
        <f>IFERROR(__xludf.DUMMYFUNCTION("""COMPUTED_VALUE"""),"Director, Calvin Communications Pte. Ltd.; Associate Director, Odyssey Dance Theatre Ltd.; English Educator and Strategic Communication Consultant")</f>
        <v>Director, Calvin Communications Pte. Ltd.; Associate Director, Odyssey Dance Theatre Ltd.; English Educator and Strategic Communication Consultant</v>
      </c>
      <c r="AJ154" s="61" t="str">
        <f>IFERROR(__xludf.DUMMYFUNCTION("""COMPUTED_VALUE"""),"No")</f>
        <v>No</v>
      </c>
      <c r="AK154" s="61"/>
      <c r="AL154" s="61" t="str">
        <f>IFERROR(__xludf.DUMMYFUNCTION("""COMPUTED_VALUE"""),"What’s your skillset?  Strategic Communication, Public Speaking, Leadership, Education, Stakeholder Engagement, Project Management, Cross Cultural Communication, Community Development, Training and Facilitation, Organisational Development")</f>
        <v>What’s your skillset?  Strategic Communication, Public Speaking, Leadership, Education, Stakeholder Engagement, Project Management, Cross Cultural Communication, Community Development, Training and Facilitation, Organisational Development</v>
      </c>
      <c r="AM154" s="61" t="str">
        <f>IFERROR(__xludf.DUMMYFUNCTION("""COMPUTED_VALUE"""),"Calvin_Goh_Full_CV_Final.pdf")</f>
        <v>Calvin_Goh_Full_CV_Final.pdf</v>
      </c>
      <c r="AN154" s="61" t="str">
        <f>IFERROR(__xludf.DUMMYFUNCTION("""COMPUTED_VALUE"""),"Yes. I believe meaningful change begins by serving the people around us. As an English educator, I have spent more than a decade helping students from diverse backgrounds gain confidence, improve communication skills, and unlock educational opportunities."&amp;" Beyond teaching, I contribute to community initiatives through volunteer service and arts education, while supporting organisations that strengthen social cohesion. I also founded Calvin Communications to provide education and communication solutions tha"&amp;"t create long term value. These experiences have shown me that sustainable impact is built through consistent service, leadership, and empowering others to reach their potential.")</f>
        <v>Yes. I believe meaningful change begins by serving the people around us. As an English educator, I have spent more than a decade helping students from diverse backgrounds gain confidence, improve communication skills, and unlock educational opportunities. Beyond teaching, I contribute to community initiatives through volunteer service and arts education, while supporting organisations that strengthen social cohesion. I also founded Calvin Communications to provide education and communication solutions that create long term value. These experiences have shown me that sustainable impact is built through consistent service, leadership, and empowering others to reach their potential.</v>
      </c>
      <c r="AO154" s="61" t="str">
        <f>IFERROR(__xludf.DUMMYFUNCTION("""COMPUTED_VALUE"""),"I believe Singapore is one of the most diplomatically significant countries despite its small size. It demonstrates how neutrality, trust, and effective governance can enable constructive dialogue between countries with different interests. Singapore acti"&amp;"vely promotes international cooperation through ASEAN, the United Nations, and global economic partnerships while maintaining strong relationships with major powers. Its multicultural society also reflects the importance of mutual respect and peaceful coe"&amp;"xistence. As a Singaporean, I have witnessed how diplomacy, openness, and practical collaboration contribute to stability, economic development, and regional peace. These values continue to shape my own approach to leadership.")</f>
        <v>I believe Singapore is one of the most diplomatically significant countries despite its small size. It demonstrates how neutrality, trust, and effective governance can enable constructive dialogue between countries with different interests. Singapore actively promotes international cooperation through ASEAN, the United Nations, and global economic partnerships while maintaining strong relationships with major powers. Its multicultural society also reflects the importance of mutual respect and peaceful coexistence. As a Singaporean, I have witnessed how diplomacy, openness, and practical collaboration contribute to stability, economic development, and regional peace. These values continue to shape my own approach to leadership.</v>
      </c>
      <c r="AP154" s="61" t="str">
        <f>IFERROR(__xludf.DUMMYFUNCTION("""COMPUTED_VALUE"""),"Young people play an important role in diplomacy because they bring fresh perspectives, adaptability, and a willingness to collaborate across cultures. Public diplomacy extends beyond governments. It is also about building understanding through education,"&amp;" cultural exchange, communication, and meaningful relationships between people.
As an educator and communication professional, I practise public diplomacy by helping individuals communicate effectively across different backgrounds. Through teaching, ment"&amp;"oring, and community engagement, I encourage respect, empathy, and openness to different perspectives. I have also worked with arts organisations that use culture as a bridge to connect communities and promote dialogue.
My academic journey reflects my co"&amp;"mmitment to international cooperation. Through my studies in luxury management and my Global MBA, I aim to understand how leadership, business, education, and cultural diplomacy can contribute to stronger international partnerships. I believe every intera"&amp;"ction represents an opportunity to build trust and mutual respect.
The Young Public Diplomacy Summit would allow me to learn from diverse participants while sharing Singapore’s experiences in multicultural harmony, effective governance, and international"&amp;" cooperation. I hope to develop practical diplomatic skills, expand my global network, and contribute to meaningful collaborations that create positive social impact.")</f>
        <v>Young people play an important role in diplomacy because they bring fresh perspectives, adaptability, and a willingness to collaborate across cultures. Public diplomacy extends beyond governments. It is also about building understanding through education, cultural exchange, communication, and meaningful relationships between people.
As an educator and communication professional, I practise public diplomacy by helping individuals communicate effectively across different backgrounds. Through teaching, mentoring, and community engagement, I encourage respect, empathy, and openness to different perspectives. I have also worked with arts organisations that use culture as a bridge to connect communities and promote dialogue.
My academic journey reflects my commitment to international cooperation. Through my studies in luxury management and my Global MBA, I aim to understand how leadership, business, education, and cultural diplomacy can contribute to stronger international partnerships. I believe every interaction represents an opportunity to build trust and mutual respect.
The Young Public Diplomacy Summit would allow me to learn from diverse participants while sharing Singapore’s experiences in multicultural harmony, effective governance, and international cooperation. I hope to develop practical diplomatic skills, expand my global network, and contribute to meaningful collaborations that create positive social impact.</v>
      </c>
      <c r="AQ154" s="61" t="str">
        <f>IFERROR(__xludf.DUMMYFUNCTION("""COMPUTED_VALUE"""),"Passion is the commitment to continue serving a purpose with dedication, even when progress requires patience and perseverance. It provides direction, motivates continuous learning, and encourages resilience during challenges.
My passion lies in educatio"&amp;"n, leadership, and building meaningful connections across cultures. This passion has motivated me to pursue continuous professional development, establish my own company, volunteer in community initiatives, and seek international learning opportunities. I"&amp;"t also inspired me to pursue postgraduate studies to strengthen my ability to contribute at a broader level.
Rather than focusing only on personal success, my passion encourages me to create opportunities for others, share knowledge, and support communit"&amp;"y development. It reminds me that lasting achievements are built through consistent effort, integrity, and a genuine desire to make a positive contribution.")</f>
        <v>Passion is the commitment to continue serving a purpose with dedication, even when progress requires patience and perseverance. It provides direction, motivates continuous learning, and encourages resilience during challenges.
My passion lies in education, leadership, and building meaningful connections across cultures. This passion has motivated me to pursue continuous professional development, establish my own company, volunteer in community initiatives, and seek international learning opportunities. It also inspired me to pursue postgraduate studies to strengthen my ability to contribute at a broader level.
Rather than focusing only on personal success, my passion encourages me to create opportunities for others, share knowledge, and support community development. It reminds me that lasting achievements are built through consistent effort, integrity, and a genuine desire to make a positive contribution.</v>
      </c>
      <c r="AR154" s="61" t="str">
        <f>IFERROR(__xludf.DUMMYFUNCTION("""COMPUTED_VALUE"""),"Yes. I view creativity as the ability to communicate ideas in ways that inspire understanding and meaningful action. Creativity is especially valuable in public diplomacy because it helps connect people from different cultures through stories, education, "&amp;"and shared experiences.
My professional experience has shown me that effective communication is not only about presenting information but also about understanding the audience and encouraging dialogue. Through education, community engagement, and organis"&amp;"ational leadership, I have developed creative ways to explain complex ideas, facilitate discussions, and encourage collaboration.
If given the opportunity, I would apply creativity by designing educational initiatives, cultural exchange programmes, and c"&amp;"ommunication campaigns that highlight shared values rather than differences. I would also promote digital engagement that encourages respectful conversations between young people from different countries and backgrounds.
As someone from Singapore, I hope"&amp;" to share how multiculturalism, practical cooperation, and mutual respect can strengthen international relationships. I believe creative public diplomacy should focus on building trust, encouraging collaboration, and creating lasting partnerships that con"&amp;"tribute to peace and sustainable development.")</f>
        <v>Yes. I view creativity as the ability to communicate ideas in ways that inspire understanding and meaningful action. Creativity is especially valuable in public diplomacy because it helps connect people from different cultures through stories, education, and shared experiences.
My professional experience has shown me that effective communication is not only about presenting information but also about understanding the audience and encouraging dialogue. Through education, community engagement, and organisational leadership, I have developed creative ways to explain complex ideas, facilitate discussions, and encourage collaboration.
If given the opportunity, I would apply creativity by designing educational initiatives, cultural exchange programmes, and communication campaigns that highlight shared values rather than differences. I would also promote digital engagement that encourages respectful conversations between young people from different countries and backgrounds.
As someone from Singapore, I hope to share how multiculturalism, practical cooperation, and mutual respect can strengthen international relationships. I believe creative public diplomacy should focus on building trust, encouraging collaboration, and creating lasting partnerships that contribute to peace and sustainable development.</v>
      </c>
      <c r="AS154" s="61" t="str">
        <f>IFERROR(__xludf.DUMMYFUNCTION("""COMPUTED_VALUE"""),"Yes")</f>
        <v>Yes</v>
      </c>
      <c r="AT154" s="61" t="str">
        <f>IFERROR(__xludf.DUMMYFUNCTION("""COMPUTED_VALUE"""),"Yes")</f>
        <v>Yes</v>
      </c>
      <c r="AU154" s="61" t="str">
        <f>IFERROR(__xludf.DUMMYFUNCTION("""COMPUTED_VALUE"""),"Global Politics, Diplomacy &amp; Identities")</f>
        <v>Global Politics, Diplomacy &amp; Identities</v>
      </c>
      <c r="AV154" s="61" t="str">
        <f>IFERROR(__xludf.DUMMYFUNCTION("""COMPUTED_VALUE"""),"Opportunities Corners")</f>
        <v>Opportunities Corners</v>
      </c>
      <c r="AW154" s="61" t="str">
        <f>IFERROR(__xludf.DUMMYFUNCTION("""COMPUTED_VALUE"""),"Public Diplomacy in the 21st Century, Cultural Diplomacy, and International Leadership")</f>
        <v>Public Diplomacy in the 21st Century, Cultural Diplomacy, and International Leadership</v>
      </c>
      <c r="AX154" s="66" t="str">
        <f>IFERROR(__xludf.DUMMYFUNCTION("""COMPUTED_VALUE"""),"Yes")</f>
        <v>Yes</v>
      </c>
      <c r="AY154" s="66">
        <f>IFERROR(__xludf.DUMMYFUNCTION("""COMPUTED_VALUE"""),15.99)</f>
        <v>15.99</v>
      </c>
      <c r="AZ154" s="61"/>
      <c r="BA154" s="61"/>
      <c r="BB154" s="61"/>
      <c r="BC154" s="61"/>
      <c r="BD154" s="61"/>
      <c r="BE154" s="61"/>
      <c r="BF154" s="61"/>
      <c r="BG154" s="61"/>
      <c r="BH154" s="61"/>
      <c r="BI154" s="61"/>
      <c r="BJ154" s="61"/>
      <c r="BK154" s="61"/>
      <c r="BL154" s="61"/>
      <c r="BM154" s="61"/>
      <c r="BN154" s="61"/>
      <c r="BO154" s="61"/>
      <c r="BP154" s="61"/>
      <c r="BQ154" s="61"/>
      <c r="BR154" s="61"/>
    </row>
    <row r="155" ht="15.75" customHeight="1">
      <c r="A155" s="61" t="str">
        <f>IFERROR(__xludf.DUMMYFUNCTION("""COMPUTED_VALUE"""),"Partial")</f>
        <v>Partial</v>
      </c>
      <c r="B155" s="62">
        <f>IFERROR(__xludf.DUMMYFUNCTION("""COMPUTED_VALUE"""),183.0)</f>
        <v>183</v>
      </c>
      <c r="C155" s="61" t="str">
        <f>IFERROR(__xludf.DUMMYFUNCTION("""COMPUTED_VALUE"""),"Partial")</f>
        <v>Partial</v>
      </c>
      <c r="D155" s="63" t="str">
        <f>IFERROR(__xludf.DUMMYFUNCTION("""COMPUTED_VALUE"""),"Submitted")</f>
        <v>Submitted</v>
      </c>
      <c r="E155" s="63">
        <f>IFERROR(__xludf.DUMMYFUNCTION("""COMPUTED_VALUE"""),46215.86875)</f>
        <v>46215.86875</v>
      </c>
      <c r="F155" s="61" t="str">
        <f>IFERROR(__xludf.DUMMYFUNCTION("""COMPUTED_VALUE"""),"Bhavya Agarwal")</f>
        <v>Bhavya Agarwal</v>
      </c>
      <c r="G155" s="61" t="str">
        <f>IFERROR(__xludf.DUMMYFUNCTION("""COMPUTED_VALUE"""),"Bhavya Agarwal")</f>
        <v>Bhavya Agarwal</v>
      </c>
      <c r="H155" s="61" t="str">
        <f>IFERROR(__xludf.DUMMYFUNCTION("""COMPUTED_VALUE"""),"agarwalbhavya117@gmail.com")</f>
        <v>agarwalbhavya117@gmail.com</v>
      </c>
      <c r="I155" s="61" t="str">
        <f>IFERROR(__xludf.DUMMYFUNCTION("""COMPUTED_VALUE"""),"bhavyaagarwal474@gmail.com")</f>
        <v>bhavyaagarwal474@gmail.com</v>
      </c>
      <c r="J155" s="61" t="str">
        <f>IFERROR(__xludf.DUMMYFUNCTION("""COMPUTED_VALUE"""),"OP JINDAL GLOBAL UNIVERISTY, Sonipat, Sonipat, India")</f>
        <v>OP JINDAL GLOBAL UNIVERISTY, Sonipat, Sonipat, India</v>
      </c>
      <c r="K155" s="61" t="str">
        <f>IFERROR(__xludf.DUMMYFUNCTION("""COMPUTED_VALUE"""),"Indian")</f>
        <v>Indian</v>
      </c>
      <c r="L155" s="64" t="str">
        <f>IFERROR(__xludf.DUMMYFUNCTION("""COMPUTED_VALUE"""),"+919981814877")</f>
        <v>+919981814877</v>
      </c>
      <c r="M155" s="64">
        <f>IFERROR(__xludf.DUMMYFUNCTION("""COMPUTED_VALUE"""),38771.0)</f>
        <v>38771</v>
      </c>
      <c r="N155" s="61" t="str">
        <f>IFERROR(__xludf.DUMMYFUNCTION("""COMPUTED_VALUE"""),"V4180132")</f>
        <v>V4180132</v>
      </c>
      <c r="O155" s="61" t="str">
        <f>IFERROR(__xludf.DUMMYFUNCTION("""COMPUTED_VALUE"""),"+918815168819")</f>
        <v>+918815168819</v>
      </c>
      <c r="P155" s="65" t="str">
        <f>IFERROR(__xludf.DUMMYFUNCTION("""COMPUTED_VALUE"""),"https://www.linkedin.com/in/bhavya-agarwal-511861318?utm_source=share_via&amp;utm_content=profile&amp;utm_medium=member_ios")</f>
        <v>https://www.linkedin.com/in/bhavya-agarwal-511861318?utm_source=share_via&amp;utm_content=profile&amp;utm_medium=member_ios</v>
      </c>
      <c r="Q155" s="61"/>
      <c r="R155" s="61"/>
      <c r="S155" s="61" t="str">
        <f>IFERROR(__xludf.DUMMYFUNCTION("""COMPUTED_VALUE"""),"c8240455-2410-420e-937a-0daf356d8869.jpeg")</f>
        <v>c8240455-2410-420e-937a-0daf356d8869.jpeg</v>
      </c>
      <c r="T155" s="61" t="str">
        <f>IFERROR(__xludf.DUMMYFUNCTION("""COMPUTED_VALUE"""),"a0837859-afaa-4391-b15c-8166e554fd64.jpeg")</f>
        <v>a0837859-afaa-4391-b15c-8166e554fd64.jpeg</v>
      </c>
      <c r="U155" s="61" t="str">
        <f>IFERROR(__xludf.DUMMYFUNCTION("""COMPUTED_VALUE"""),"Undergraduate")</f>
        <v>Undergraduate</v>
      </c>
      <c r="V155" s="61" t="str">
        <f>IFERROR(__xludf.DUMMYFUNCTION("""COMPUTED_VALUE"""),"BBA LLB (Hons)")</f>
        <v>BBA LLB (Hons)</v>
      </c>
      <c r="W155" s="61" t="str">
        <f>IFERROR(__xludf.DUMMYFUNCTION("""COMPUTED_VALUE"""),"Law with International Relations")</f>
        <v>Law with International Relations</v>
      </c>
      <c r="X155" s="61" t="str">
        <f>IFERROR(__xludf.DUMMYFUNCTION("""COMPUTED_VALUE"""),"OP Jindal Global University")</f>
        <v>OP Jindal Global University</v>
      </c>
      <c r="Y155" s="61" t="str">
        <f>IFERROR(__xludf.DUMMYFUNCTION("""COMPUTED_VALUE"""),"Yes")</f>
        <v>Yes</v>
      </c>
      <c r="Z155" s="61" t="str">
        <f>IFERROR(__xludf.DUMMYFUNCTION("""COMPUTED_VALUE"""),"India")</f>
        <v>India</v>
      </c>
      <c r="AA155" s="61" t="str">
        <f>IFERROR(__xludf.DUMMYFUNCTION("""COMPUTED_VALUE"""),"No")</f>
        <v>No</v>
      </c>
      <c r="AB155" s="61" t="str">
        <f>IFERROR(__xludf.DUMMYFUNCTION("""COMPUTED_VALUE"""),"OP Jindal Global University")</f>
        <v>OP Jindal Global University</v>
      </c>
      <c r="AC155" s="61" t="str">
        <f>IFERROR(__xludf.DUMMYFUNCTION("""COMPUTED_VALUE"""),"Yes. My research experience spans international humanitarian law, constitutional law, and socio-legal fieldwork. I have authored peer-reviewed pieces on manual scavenging and caste (Adrishya), international criminal justice (Nickel and Dimed), and am curr"&amp;"ently developing research abstracts for the JGLR Special Issue on AI &amp; Law and a project on decolonizing rights education (submitted to ICSSR-YSPS). I completed formal training in Understanding Research Methods at SOAS, University of London.")</f>
        <v>Yes. My research experience spans international humanitarian law, constitutional law, and socio-legal fieldwork. I have authored peer-reviewed pieces on manual scavenging and caste (Adrishya), international criminal justice (Nickel and Dimed), and am currently developing research abstracts for the JGLR Special Issue on AI &amp; Law and a project on decolonizing rights education (submitted to ICSSR-YSPS). I completed formal training in Understanding Research Methods at SOAS, University of London.</v>
      </c>
      <c r="AD155" s="61" t="str">
        <f>IFERROR(__xludf.DUMMYFUNCTION("""COMPUTED_VALUE"""),"Yes. I have volunteered with Matrachaya NGO (Indore) as Institutional Liaison &amp; Legal Coordinator, and founded NEVRUA, a youth-led organization in Indore working with local NGOs to provide life-skills education to children.”")</f>
        <v>Yes. I have volunteered with Matrachaya NGO (Indore) as Institutional Liaison &amp; Legal Coordinator, and founded NEVRUA, a youth-led organization in Indore working with local NGOs to provide life-skills education to children.”</v>
      </c>
      <c r="AE155" s="65" t="str">
        <f>IFERROR(__xludf.DUMMYFUNCTION("""COMPUTED_VALUE"""),"https://www.instagram.com/neruva_foundation?igsh=MWhycTE2ODJ6ang2Mg==")</f>
        <v>https://www.instagram.com/neruva_foundation?igsh=MWhycTE2ODJ6ang2Mg==</v>
      </c>
      <c r="AF155" s="61" t="str">
        <f>IFERROR(__xludf.DUMMYFUNCTION("""COMPUTED_VALUE"""),"I am the founder and a silent Partner, I facilitate legal coordination between the Individual nd other NGO’s in the area , review contracts, I also get sponsorship, I am the spokesperson.")</f>
        <v>I am the founder and a silent Partner, I facilitate legal coordination between the Individual nd other NGO’s in the area , review contracts, I also get sponsorship, I am the spokesperson.</v>
      </c>
      <c r="AG155" s="61" t="str">
        <f>IFERROR(__xludf.DUMMYFUNCTION("""COMPUTED_VALUE"""),"4")</f>
        <v>4</v>
      </c>
      <c r="AH155" s="61" t="str">
        <f>IFERROR(__xludf.DUMMYFUNCTION("""COMPUTED_VALUE"""),"No")</f>
        <v>No</v>
      </c>
      <c r="AI155" s="61"/>
      <c r="AJ155" s="61" t="str">
        <f>IFERROR(__xludf.DUMMYFUNCTION("""COMPUTED_VALUE"""),"yes")</f>
        <v>yes</v>
      </c>
      <c r="AK155" s="61" t="str">
        <f>IFERROR(__xludf.DUMMYFUNCTION("""COMPUTED_VALUE"""),"To empower every child with the
confidence, skills, and mindset required
to navigate life successfully, regardless
of their background or circumstances.
What We Do
Neruva Foundation conducts interactive and activity-based sessions
designed to make learnin"&amp;"g enjoyable, practical, and impactful.
Our sessions focus on:
* Confidence Building
* Communication Skills
* Leadership Development
* Teamwork &amp; Collaboration
* Critical Thinking
* Creative Problem Solving
* Decision Making
* Goal Setting &amp; Vision Buildin"&amp;"g
* Financial Awareness
* Kindness &amp; Positive Thinking
* Self-Belief &amp; Personal Growth")</f>
        <v>To empower every child with the
confidence, skills, and mindset required
to navigate life successfully, regardless
of their background or circumstances.
What We Do
Neruva Foundation conducts interactive and activity-based sessions
designed to make learning enjoyable, practical, and impactful.
Our sessions focus on:
* Confidence Building
* Communication Skills
* Leadership Development
* Teamwork &amp; Collaboration
* Critical Thinking
* Creative Problem Solving
* Decision Making
* Goal Setting &amp; Vision Building
* Financial Awareness
* Kindness &amp; Positive Thinking
* Self-Belief &amp; Personal Growth</v>
      </c>
      <c r="AL155" s="61" t="str">
        <f>IFERROR(__xludf.DUMMYFUNCTION("""COMPUTED_VALUE"""),"Legal Research &amp; Drafting Legal research and case brief drafting across criminal, constitutional, and insolvency law; drafting of bail applications, SLPs, written submissions, and client advisories; experience with NCLT/NCLAT proceedings, CIRP, and IBC ma"&amp;"tters.  Advocacy &amp; Litigation Support Courtroom observation and trial strategy support; oral argument preparation; exposure to Supreme Court AOR practice and appellate procedure.  Academic Research &amp; Publishing Published research on international humanita"&amp;"rian law, manual scavenging and caste, and international criminal justice; ongoing IHL research under Judge Nancy Rios; formal training in research methodology (SOAS, University of London).  Moot Court &amp; Advocacy Oral advocacy and memorial drafting; semif"&amp;"inalist and Best Rookie Team, IAMOOT 2026; Special Recognition for Memorial and Best Witness, NUJS National Trial &amp; Advocacy Competition.  Editorial &amp; Content Leadership Editorial leadership for Nickel and Dimed (International &amp; Foreign Policy column); te"&amp;"am management and content strategy for Adrishya special edition.  Leadership &amp; Project Management Led research and volunteer teams (5–6 members); coordinated cross-institutional initiatives (Jindal Policy Camp, Matrachaya NGO, NEVRUA); managed publication"&amp;" timelines and field research logistics.  Cross-Cultural &amp; Communication Skills Youth Ambassador experience (KL-YES, U.S. Department of State); international exchange facilitation (India–Germany); public speaking to diverse audiences.")</f>
        <v>Legal Research &amp; Drafting Legal research and case brief drafting across criminal, constitutional, and insolvency law; drafting of bail applications, SLPs, written submissions, and client advisories; experience with NCLT/NCLAT proceedings, CIRP, and IBC matters.  Advocacy &amp; Litigation Support Courtroom observation and trial strategy support; oral argument preparation; exposure to Supreme Court AOR practice and appellate procedure.  Academic Research &amp; Publishing Published research on international humanitarian law, manual scavenging and caste, and international criminal justice; ongoing IHL research under Judge Nancy Rios; formal training in research methodology (SOAS, University of London).  Moot Court &amp; Advocacy Oral advocacy and memorial drafting; semifinalist and Best Rookie Team, IAMOOT 2026; Special Recognition for Memorial and Best Witness, NUJS National Trial &amp; Advocacy Competition.  Editorial &amp; Content Leadership Editorial leadership for Nickel and Dimed (International &amp; Foreign Policy column); team management and content strategy for Adrishya special edition.  Leadership &amp; Project Management Led research and volunteer teams (5–6 members); coordinated cross-institutional initiatives (Jindal Policy Camp, Matrachaya NGO, NEVRUA); managed publication timelines and field research logistics.  Cross-Cultural &amp; Communication Skills Youth Ambassador experience (KL-YES, U.S. Department of State); international exchange facilitation (India–Germany); public speaking to diverse audiences.</v>
      </c>
      <c r="AM155" s="61" t="str">
        <f>IFERROR(__xludf.DUMMYFUNCTION("""COMPUTED_VALUE"""),"Bhavya Agarwal CV.pdf")</f>
        <v>Bhavya Agarwal CV.pdf</v>
      </c>
      <c r="AN155" s="61" t="str">
        <f>IFERROR(__xludf.DUMMYFUNCTION("""COMPUTED_VALUE"""),"Yes — but I’ve learned change starts locally before it scales. As Institutional Liaison at Matrachaya NGO, I streamlined adoption compliance under CARA guidelines so vulnerable children reach families faster. I founded NEVRUA, mobilizing six students to t"&amp;"each life skills across three NGOs in Indore. My research on manual scavenging (Adrishya) moved beyond documentation  proposing an actionable policy framework for worker rehabilitation. I don’t believe in changing the world abstractly; I believe in fixing"&amp;" the specific, broken mechanism in front of me  one policy gap, one child’s case, one overlooked community  until the pattern shifts.")</f>
        <v>Yes — but I’ve learned change starts locally before it scales. As Institutional Liaison at Matrachaya NGO, I streamlined adoption compliance under CARA guidelines so vulnerable children reach families faster. I founded NEVRUA, mobilizing six students to teach life skills across three NGOs in Indore. My research on manual scavenging (Adrishya) moved beyond documentation  proposing an actionable policy framework for worker rehabilitation. I don’t believe in changing the world abstractly; I believe in fixing the specific, broken mechanism in front of me  one policy gap, one child’s case, one overlooked community  until the pattern shifts.</v>
      </c>
      <c r="AO155" s="61" t="str">
        <f>IFERROR(__xludf.DUMMYFUNCTION("""COMPUTED_VALUE"""),"India. As a bridge between the Global North and South, India navigates non-alignment, BRICS, and Quad memberships simultaneously — a balancing act few nations attempt. My own research exposed this tension directly: comparing global legal responses to Kyiv"&amp;" and Rafah revealed how geopolitical interest, not international law, often dictates outcomes. India’s diplomatic significance lies precisely here  its capacity to advocate for Global South priorities (equity, sovereignty, humanitarian law) while engaging"&amp;" great-power institutions on their own terms. In a fracturing multilateral order, countries that can speak both languages  power and principle matter most.")</f>
        <v>India. As a bridge between the Global North and South, India navigates non-alignment, BRICS, and Quad memberships simultaneously — a balancing act few nations attempt. My own research exposed this tension directly: comparing global legal responses to Kyiv and Rafah revealed how geopolitical interest, not international law, often dictates outcomes. India’s diplomatic significance lies precisely here  its capacity to advocate for Global South priorities (equity, sovereignty, humanitarian law) while engaging great-power institutions on their own terms. In a fracturing multilateral order, countries that can speak both languages  power and principle matter most.</v>
      </c>
      <c r="AP155" s="61" t="str">
        <f>IFERROR(__xludf.DUMMYFUNCTION("""COMPUTED_VALUE"""),"Youth diplomacy is credibility without institutional baggage. As a KL-YES Scholar, I represented India to American audiences not as a government envoy, but as a peer  which made the exchange honest. That taught me Public Diplomacy’s real currency isn’t po"&amp;"licy briefings; it’s trust built person-to-person, across difference.
I’ve since tried to embody that principle structurally. At the Inter-American Humanitarian Moot Court in Washington D.C., arguing before a simulated Inter-American Court, I represented"&amp;" not a government but victims learning that advocacy for the underrepresented is itself a diplomatic act. Facilitating the India–Germany exchange during my Winter School residency in Pali, Rajasthan, I translated rural governance realities into frameworks"&amp;" legible to European institutions, and vice versa.
Youth bring something states often can’t: the willingness to sit with complexity without needing to “win” the exchange. I relate to Public Diplomacy as translation work  making one country’s lived realit"&amp;"y intelligible to another, without flattening it. It’s slower than traditional diplomacy, but more durable, because it builds constituencies of understanding rather than just agreements.")</f>
        <v>Youth diplomacy is credibility without institutional baggage. As a KL-YES Scholar, I represented India to American audiences not as a government envoy, but as a peer  which made the exchange honest. That taught me Public Diplomacy’s real currency isn’t policy briefings; it’s trust built person-to-person, across difference.
I’ve since tried to embody that principle structurally. At the Inter-American Humanitarian Moot Court in Washington D.C., arguing before a simulated Inter-American Court, I represented not a government but victims learning that advocacy for the underrepresented is itself a diplomatic act. Facilitating the India–Germany exchange during my Winter School residency in Pali, Rajasthan, I translated rural governance realities into frameworks legible to European institutions, and vice versa.
Youth bring something states often can’t: the willingness to sit with complexity without needing to “win” the exchange. I relate to Public Diplomacy as translation work  making one country’s lived reality intelligible to another, without flattening it. It’s slower than traditional diplomacy, but more durable, because it builds constituencies of understanding rather than just agreements.</v>
      </c>
      <c r="AQ155" s="61" t="str">
        <f>IFERROR(__xludf.DUMMYFUNCTION("""COMPUTED_VALUE"""),"Passion is sustained attention to something most people look away from. Mine surfaced researching manual scavenging in India  a practice legally banned since 2013, yet persisting because no one stayed with the problem long enough to fix implementation, no"&amp;"t just legislation. That project took months of fieldwork, ethical interviews, and rewriting to get the framework right.
Passion isn’t intensity; it’s endurance. It’s what let me draft SLPs at the Supreme Court, build a case law compendium spanning Artic"&amp;"les 7, 13, and 15 of the ACHR for IAMOOT, and still return to IHL research with Judge Nancy Rios after a full academic term. Motivation fades under deadline pressure; passion is what remains when the excitement wears off and the actual work  footnoting, r"&amp;"edrafting, fact-checking begins. It’s the difference between starting something and finishing it well.")</f>
        <v>Passion is sustained attention to something most people look away from. Mine surfaced researching manual scavenging in India  a practice legally banned since 2013, yet persisting because no one stayed with the problem long enough to fix implementation, not just legislation. That project took months of fieldwork, ethical interviews, and rewriting to get the framework right.
Passion isn’t intensity; it’s endurance. It’s what let me draft SLPs at the Supreme Court, build a case law compendium spanning Articles 7, 13, and 15 of the ACHR for IAMOOT, and still return to IHL research with Judge Nancy Rios after a full academic term. Motivation fades under deadline pressure; passion is what remains when the excitement wears off and the actual work  footnoting, redrafting, fact-checking begins. It’s the difference between starting something and finishing it well.</v>
      </c>
      <c r="AR155" s="61" t="str">
        <f>IFERROR(__xludf.DUMMYFUNCTION("""COMPUTED_VALUE"""),"Yes — though my creativity shows up as reframing, not performance. Co-creating a live four-actor script on property rights and the 44th Amendment taught me that constitutional history lands differently when it’s performed, not just read —audiences remembe"&amp;"r Kesavananda Bharati when they’ve watched it argued aloud.
That instinct shapes how I’d approach public diplomacy: the message matters less than the medium it travels through. As Co-Head of Nickel and Dimed’s foreign policy column, I didn’t just publish"&amp;" analysis  I curated underreported crises and rebuilt the visual strategy around them, lifting readership by 10%. That’s diplomacy too: deciding which stories get told, and how, so they actually reach people rather than circulating among specialists.
An "&amp;"effective public diplomacy strategy needs exactly this — creative reframing that makes complex geopolitics legible without distorting it. Legal literacy theatre, accessible long-form journalism, editorial curation  these aren’t soft skills adjacent to dip"&amp;"lomacy; they’re the delivery mechanism diplomacy depends on. My creativity isn’t decorative. It’s the translation layer between institutional truth and public understanding.")</f>
        <v>Yes — though my creativity shows up as reframing, not performance. Co-creating a live four-actor script on property rights and the 44th Amendment taught me that constitutional history lands differently when it’s performed, not just read —audiences remember Kesavananda Bharati when they’ve watched it argued aloud.
That instinct shapes how I’d approach public diplomacy: the message matters less than the medium it travels through. As Co-Head of Nickel and Dimed’s foreign policy column, I didn’t just publish analysis  I curated underreported crises and rebuilt the visual strategy around them, lifting readership by 10%. That’s diplomacy too: deciding which stories get told, and how, so they actually reach people rather than circulating among specialists.
An effective public diplomacy strategy needs exactly this — creative reframing that makes complex geopolitics legible without distorting it. Legal literacy theatre, accessible long-form journalism, editorial curation  these aren’t soft skills adjacent to diplomacy; they’re the delivery mechanism diplomacy depends on. My creativity isn’t decorative. It’s the translation layer between institutional truth and public understanding.</v>
      </c>
      <c r="AS155" s="61" t="str">
        <f>IFERROR(__xludf.DUMMYFUNCTION("""COMPUTED_VALUE"""),"Yes")</f>
        <v>Yes</v>
      </c>
      <c r="AT155" s="61" t="str">
        <f>IFERROR(__xludf.DUMMYFUNCTION("""COMPUTED_VALUE"""),"Yes")</f>
        <v>Yes</v>
      </c>
      <c r="AU155" s="61" t="str">
        <f>IFERROR(__xludf.DUMMYFUNCTION("""COMPUTED_VALUE"""),"Global Politics, Diplomacy &amp; Identities")</f>
        <v>Global Politics, Diplomacy &amp; Identities</v>
      </c>
      <c r="AV155" s="61" t="str">
        <f>IFERROR(__xludf.DUMMYFUNCTION("""COMPUTED_VALUE"""),"Instagram")</f>
        <v>Instagram</v>
      </c>
      <c r="AW155" s="61" t="str">
        <f>IFERROR(__xludf.DUMMYFUNCTION("""COMPUTED_VALUE"""),"Public Diplomacy in 2026")</f>
        <v>Public Diplomacy in 2026</v>
      </c>
      <c r="AX155" s="66" t="str">
        <f>IFERROR(__xludf.DUMMYFUNCTION("""COMPUTED_VALUE"""),"Yes")</f>
        <v>Yes</v>
      </c>
      <c r="AY155" s="66">
        <f>IFERROR(__xludf.DUMMYFUNCTION("""COMPUTED_VALUE"""),15.99)</f>
        <v>15.99</v>
      </c>
      <c r="AZ155" s="61"/>
      <c r="BA155" s="61"/>
      <c r="BB155" s="61"/>
      <c r="BC155" s="61"/>
      <c r="BD155" s="61"/>
      <c r="BE155" s="61"/>
      <c r="BF155" s="61"/>
      <c r="BG155" s="61"/>
      <c r="BH155" s="61"/>
      <c r="BI155" s="61"/>
      <c r="BJ155" s="61"/>
      <c r="BK155" s="61"/>
      <c r="BL155" s="61"/>
      <c r="BM155" s="61"/>
      <c r="BN155" s="61"/>
      <c r="BO155" s="61"/>
      <c r="BP155" s="61"/>
      <c r="BQ155" s="61"/>
      <c r="BR155" s="61"/>
    </row>
    <row r="156" ht="15.75" customHeight="1">
      <c r="A156" s="61" t="str">
        <f>IFERROR(__xludf.DUMMYFUNCTION("""COMPUTED_VALUE"""),"Full")</f>
        <v>Full</v>
      </c>
      <c r="B156" s="62">
        <f>IFERROR(__xludf.DUMMYFUNCTION("""COMPUTED_VALUE"""),184.0)</f>
        <v>184</v>
      </c>
      <c r="C156" s="61" t="str">
        <f>IFERROR(__xludf.DUMMYFUNCTION("""COMPUTED_VALUE"""),"Full")</f>
        <v>Full</v>
      </c>
      <c r="D156" s="63" t="str">
        <f>IFERROR(__xludf.DUMMYFUNCTION("""COMPUTED_VALUE"""),"Submitted")</f>
        <v>Submitted</v>
      </c>
      <c r="E156" s="63">
        <f>IFERROR(__xludf.DUMMYFUNCTION("""COMPUTED_VALUE"""),46215.89583333334)</f>
        <v>46215.89583</v>
      </c>
      <c r="F156" s="61" t="str">
        <f>IFERROR(__xludf.DUMMYFUNCTION("""COMPUTED_VALUE"""),"Truc Nguyen")</f>
        <v>Truc Nguyen</v>
      </c>
      <c r="G156" s="61" t="str">
        <f>IFERROR(__xludf.DUMMYFUNCTION("""COMPUTED_VALUE"""),"Nguyen Thanh Truc")</f>
        <v>Nguyen Thanh Truc</v>
      </c>
      <c r="H156" s="61" t="str">
        <f>IFERROR(__xludf.DUMMYFUNCTION("""COMPUTED_VALUE"""),"thanhtrucworkplace.6868@gmail.com")</f>
        <v>thanhtrucworkplace.6868@gmail.com</v>
      </c>
      <c r="I156" s="61" t="str">
        <f>IFERROR(__xludf.DUMMYFUNCTION("""COMPUTED_VALUE"""),"tommytrucnguyen172@gmail.com")</f>
        <v>tommytrucnguyen172@gmail.com</v>
      </c>
      <c r="J156" s="61"/>
      <c r="K156" s="61" t="str">
        <f>IFERROR(__xludf.DUMMYFUNCTION("""COMPUTED_VALUE"""),"Vietnamese")</f>
        <v>Vietnamese</v>
      </c>
      <c r="L156" s="64" t="str">
        <f>IFERROR(__xludf.DUMMYFUNCTION("""COMPUTED_VALUE"""),"0795717865")</f>
        <v>0795717865</v>
      </c>
      <c r="M156" s="64">
        <f>IFERROR(__xludf.DUMMYFUNCTION("""COMPUTED_VALUE"""),38360.0)</f>
        <v>38360</v>
      </c>
      <c r="N156" s="61" t="str">
        <f>IFERROR(__xludf.DUMMYFUNCTION("""COMPUTED_VALUE"""),"C7510772")</f>
        <v>C7510772</v>
      </c>
      <c r="O156" s="61" t="str">
        <f>IFERROR(__xludf.DUMMYFUNCTION("""COMPUTED_VALUE"""),"0938191820")</f>
        <v>0938191820</v>
      </c>
      <c r="P156" s="61"/>
      <c r="Q156" s="65" t="str">
        <f>IFERROR(__xludf.DUMMYFUNCTION("""COMPUTED_VALUE"""),"https://www.instagram.com/janecore.exe?igsh=Nnl2dDRxdXdvaHlp&amp;utm_source=qr")</f>
        <v>https://www.instagram.com/janecore.exe?igsh=Nnl2dDRxdXdvaHlp&amp;utm_source=qr</v>
      </c>
      <c r="R156" s="65" t="str">
        <f>IFERROR(__xludf.DUMMYFUNCTION("""COMPUTED_VALUE"""),"https://www.facebook.com/share/1AVRsreZR7/?mibextid=wwXIfr")</f>
        <v>https://www.facebook.com/share/1AVRsreZR7/?mibextid=wwXIfr</v>
      </c>
      <c r="S156" s="61" t="str">
        <f>IFERROR(__xludf.DUMMYFUNCTION("""COMPUTED_VALUE"""),"Passport.JPG")</f>
        <v>Passport.JPG</v>
      </c>
      <c r="T156" s="61" t="str">
        <f>IFERROR(__xludf.DUMMYFUNCTION("""COMPUTED_VALUE"""),"CamScanner 29-10-25 12.32.jpg")</f>
        <v>CamScanner 29-10-25 12.32.jpg</v>
      </c>
      <c r="U156" s="61" t="str">
        <f>IFERROR(__xludf.DUMMYFUNCTION("""COMPUTED_VALUE"""),"Bachelor")</f>
        <v>Bachelor</v>
      </c>
      <c r="V156" s="61" t="str">
        <f>IFERROR(__xludf.DUMMYFUNCTION("""COMPUTED_VALUE"""),"International Studies")</f>
        <v>International Studies</v>
      </c>
      <c r="W156" s="61" t="str">
        <f>IFERROR(__xludf.DUMMYFUNCTION("""COMPUTED_VALUE"""),"Languages and International Relations")</f>
        <v>Languages and International Relations</v>
      </c>
      <c r="X156" s="61" t="str">
        <f>IFERROR(__xludf.DUMMYFUNCTION("""COMPUTED_VALUE"""),"RMIT University")</f>
        <v>RMIT University</v>
      </c>
      <c r="Y156" s="61" t="str">
        <f>IFERROR(__xludf.DUMMYFUNCTION("""COMPUTED_VALUE"""),"Yes")</f>
        <v>Yes</v>
      </c>
      <c r="Z156" s="61" t="str">
        <f>IFERROR(__xludf.DUMMYFUNCTION("""COMPUTED_VALUE"""),"Vietnam")</f>
        <v>Vietnam</v>
      </c>
      <c r="AA156" s="61" t="str">
        <f>IFERROR(__xludf.DUMMYFUNCTION("""COMPUTED_VALUE"""),"No")</f>
        <v>No</v>
      </c>
      <c r="AB156" s="61"/>
      <c r="AC156" s="61" t="str">
        <f>IFERROR(__xludf.DUMMYFUNCTION("""COMPUTED_VALUE"""),"Yes")</f>
        <v>Yes</v>
      </c>
      <c r="AD156" s="61" t="str">
        <f>IFERROR(__xludf.DUMMYFUNCTION("""COMPUTED_VALUE"""),"AIESEC Vietnam; RMIT Student Ambassador Team (SAT); International Student Buddy Program (ISS Buddy); Hoa Phuong Do Volunteer Campaign")</f>
        <v>AIESEC Vietnam; RMIT Student Ambassador Team (SAT); International Student Buddy Program (ISS Buddy); Hoa Phuong Do Volunteer Campaign</v>
      </c>
      <c r="AE156" s="65" t="str">
        <f>IFERROR(__xludf.DUMMYFUNCTION("""COMPUTED_VALUE"""),"https://www.aiesec.vn")</f>
        <v>https://www.aiesec.vn</v>
      </c>
      <c r="AF156" s="61" t="str">
        <f>IFERROR(__xludf.DUMMYFUNCTION("""COMPUTED_VALUE"""),"Global Volunteer; Public Speaker and MC; International Student Buddy; Summer Ambassador")</f>
        <v>Global Volunteer; Public Speaker and MC; International Student Buddy; Summer Ambassador</v>
      </c>
      <c r="AG156" s="61" t="str">
        <f>IFERROR(__xludf.DUMMYFUNCTION("""COMPUTED_VALUE"""),"1")</f>
        <v>1</v>
      </c>
      <c r="AH156" s="61" t="str">
        <f>IFERROR(__xludf.DUMMYFUNCTION("""COMPUTED_VALUE"""),"No")</f>
        <v>No</v>
      </c>
      <c r="AI156" s="61"/>
      <c r="AJ156" s="61" t="str">
        <f>IFERROR(__xludf.DUMMYFUNCTION("""COMPUTED_VALUE"""),"RMIT Chinese Club")</f>
        <v>RMIT Chinese Club</v>
      </c>
      <c r="AK156" s="61" t="str">
        <f>IFERROR(__xludf.DUMMYFUNCTION("""COMPUTED_VALUE"""),"I founded RMIT Vietnam Chinese Club in order to create an inclusive platform for those who have interest in Chinese language, for cultural exchange, academic development, and career opportunities through workshops, networking, and collaborative learning.")</f>
        <v>I founded RMIT Vietnam Chinese Club in order to create an inclusive platform for those who have interest in Chinese language, for cultural exchange, academic development, and career opportunities through workshops, networking, and collaborative learning.</v>
      </c>
      <c r="AL156" s="61" t="str">
        <f>IFERROR(__xludf.DUMMYFUNCTION("""COMPUTED_VALUE"""),"Leadership, Youth Advocacy, Public Speaking, Project Management, Cross-cultural Communication, Research, Teamwork")</f>
        <v>Leadership, Youth Advocacy, Public Speaking, Project Management, Cross-cultural Communication, Research, Teamwork</v>
      </c>
      <c r="AM156" s="61" t="str">
        <f>IFERROR(__xludf.DUMMYFUNCTION("""COMPUTED_VALUE"""),"CV.pdf")</f>
        <v>CV.pdf</v>
      </c>
      <c r="AN156" s="61" t="str">
        <f>IFERROR(__xludf.DUMMYFUNCTION("""COMPUTED_VALUE"""),"I think the world is operating in its own trajectory, and it doesn't necessarily need to be changed. What I actually want to do is to create meaningful impact by solving the global problems that we all face together. I founded the RMIT Vietnam Chinese Clu"&amp;"b to create opportunities for language learning, intercultural exchange, and leadership development. Beyond campus, I contributed to NIION, a social innovation project that reduces agricultural waste while promoting environmental sustainability. I have al"&amp;"so conducted research on Generative AI in public governance and served as a Student Ambassador, advocating for inclusive education and cross-cultural collaboration. These experiences have taught me that meaningful impact is not created by one grand action"&amp;", but by consistently building solutions that empower people and inspire collective change.")</f>
        <v>I think the world is operating in its own trajectory, and it doesn't necessarily need to be changed. What I actually want to do is to create meaningful impact by solving the global problems that we all face together. I founded the RMIT Vietnam Chinese Club to create opportunities for language learning, intercultural exchange, and leadership development. Beyond campus, I contributed to NIION, a social innovation project that reduces agricultural waste while promoting environmental sustainability. I have also conducted research on Generative AI in public governance and served as a Student Ambassador, advocating for inclusive education and cross-cultural collaboration. These experiences have taught me that meaningful impact is not created by one grand action, but by consistently building solutions that empower people and inspire collective change.</v>
      </c>
      <c r="AO156" s="61" t="str">
        <f>IFERROR(__xludf.DUMMYFUNCTION("""COMPUTED_VALUE"""),"To me, the most diplomatically significant country is the one that is willing to listen, not only to world leaders, but also to its citizens, neighboring countries, and young people. My experiences in international programs have taught me that trust is bu"&amp;"ilt not by speaking more, but by listening better. Countries that embrace dialogue, encourage cultural exchange, and value different perspectives create trust that extends beyond political agreements. In an era of global challenges, I believe the ability "&amp;"to listen has become a strategic strength to many countries.")</f>
        <v>To me, the most diplomatically significant country is the one that is willing to listen, not only to world leaders, but also to its citizens, neighboring countries, and young people. My experiences in international programs have taught me that trust is built not by speaking more, but by listening better. Countries that embrace dialogue, encourage cultural exchange, and value different perspectives create trust that extends beyond political agreements. In an era of global challenges, I believe the ability to listen has become a strategic strength to many countries.</v>
      </c>
      <c r="AP156" s="61" t="str">
        <f>IFERROR(__xludf.DUMMYFUNCTION("""COMPUTED_VALUE"""),"People often call youth the future of diplomacy, but I believe we are already shaping it. While governments negotiate agreements, young people are already building the trust that allows those agreements to thrive. Every conversation, project, and shared e"&amp;"xperience becomes an opportunity to strengthen understanding across cultures.
To me, public diplomacy is about creating trust before actually forming agreements. I have learned that diplomacy is often built through ordinary conversations rather than extra"&amp;"ordinary events. It begins when people choose to listen, understand, and respect different perspectives. I hope to continue promoting youth mobility, intercultural dialogue, and educational collaboration because I believe people-to-people connections are "&amp;"the strongest foundation of international cooperation.")</f>
        <v>People often call youth the future of diplomacy, but I believe we are already shaping it. While governments negotiate agreements, young people are already building the trust that allows those agreements to thrive. Every conversation, project, and shared experience becomes an opportunity to strengthen understanding across cultures.
To me, public diplomacy is about creating trust before actually forming agreements. I have learned that diplomacy is often built through ordinary conversations rather than extraordinary events. It begins when people choose to listen, understand, and respect different perspectives. I hope to continue promoting youth mobility, intercultural dialogue, and educational collaboration because I believe people-to-people connections are the strongest foundation of international cooperation.</v>
      </c>
      <c r="AQ156" s="61" t="str">
        <f>IFERROR(__xludf.DUMMYFUNCTION("""COMPUTED_VALUE"""),"To me, passion is not about how big your title is, but about how persistent you are in pursuing your goals. You can start with something small, but as long as you stay committed to it, your efforts will gradually create meaningful impact. My passion has e"&amp;"volved through founding a student club, conducting research, and participating in international programs. There were times when I questioned whether I should give up because I no longer felt there was a reason to continue. But whenever I looked back on wh"&amp;"y I started in the first place, I found the motivation to keep going. That passion gives me the resilience to learn continuously, embrace challenges, and stay committed to my long-term goal of creating a positive impact.")</f>
        <v>To me, passion is not about how big your title is, but about how persistent you are in pursuing your goals. You can start with something small, but as long as you stay committed to it, your efforts will gradually create meaningful impact. My passion has evolved through founding a student club, conducting research, and participating in international programs. There were times when I questioned whether I should give up because I no longer felt there was a reason to continue. But whenever I looked back on why I started in the first place, I found the motivation to keep going. That passion gives me the resilience to learn continuously, embrace challenges, and stay committed to my long-term goal of creating a positive impact.</v>
      </c>
      <c r="AR156" s="61" t="str">
        <f>IFERROR(__xludf.DUMMYFUNCTION("""COMPUTED_VALUE"""),"Yes, I am. To me, creativity is the ability to connect ideas that others often overlook and turn them into practical solutions. I enjoy looking at challenges from different perspectives and asking how existing ideas can work better together. If I had the "&amp;"opportunity to turn that creativity into a public diplomacy strategy, I would start by understanding the real problem instead of assuming I already know the solution. Too often, we focus on creating campaigns without first asking the people affected what "&amp;"they actually need. I believe good public diplomacy should begin with listening, not only to policymakers, but also to citizens, especially young people whose voices are often left out of the conversation. Once people feel heard, meaningful dialogue can b"&amp;"egin. I would create more opportunities for individuals from different cultural backgrounds to meet, exchange ideas, and learn from one another through youth exchanges, educational programs, and community initiatives. When people understand each other's s"&amp;"tories, trust develops naturally. To me, successful public diplomacy is not about promoting a country's image. It is about building policies and initiatives that people can genuinely relate to. When diplomacy is grounded in real needs, shaped by public vo"&amp;"ices, and strengthened through multicultural understanding, it creates trust that lasts far beyond any official agreement.")</f>
        <v>Yes, I am. To me, creativity is the ability to connect ideas that others often overlook and turn them into practical solutions. I enjoy looking at challenges from different perspectives and asking how existing ideas can work better together. If I had the opportunity to turn that creativity into a public diplomacy strategy, I would start by understanding the real problem instead of assuming I already know the solution. Too often, we focus on creating campaigns without first asking the people affected what they actually need. I believe good public diplomacy should begin with listening, not only to policymakers, but also to citizens, especially young people whose voices are often left out of the conversation. Once people feel heard, meaningful dialogue can begin. I would create more opportunities for individuals from different cultural backgrounds to meet, exchange ideas, and learn from one another through youth exchanges, educational programs, and community initiatives. When people understand each other's stories, trust develops naturally. To me, successful public diplomacy is not about promoting a country's image. It is about building policies and initiatives that people can genuinely relate to. When diplomacy is grounded in real needs, shaped by public voices, and strengthened through multicultural understanding, it creates trust that lasts far beyond any official agreement.</v>
      </c>
      <c r="AS156" s="61" t="str">
        <f>IFERROR(__xludf.DUMMYFUNCTION("""COMPUTED_VALUE"""),"Yes")</f>
        <v>Yes</v>
      </c>
      <c r="AT156" s="61" t="str">
        <f>IFERROR(__xludf.DUMMYFUNCTION("""COMPUTED_VALUE"""),"Yes")</f>
        <v>Yes</v>
      </c>
      <c r="AU156" s="61" t="str">
        <f>IFERROR(__xludf.DUMMYFUNCTION("""COMPUTED_VALUE"""),"Global Politics, Diplomacy &amp; Identities")</f>
        <v>Global Politics, Diplomacy &amp; Identities</v>
      </c>
      <c r="AV156" s="61" t="str">
        <f>IFERROR(__xludf.DUMMYFUNCTION("""COMPUTED_VALUE"""),"Instagram")</f>
        <v>Instagram</v>
      </c>
      <c r="AW156" s="61"/>
      <c r="AX156" s="66" t="str">
        <f>IFERROR(__xludf.DUMMYFUNCTION("""COMPUTED_VALUE"""),"Yes")</f>
        <v>Yes</v>
      </c>
      <c r="AY156" s="66">
        <f>IFERROR(__xludf.DUMMYFUNCTION("""COMPUTED_VALUE"""),15.99)</f>
        <v>15.99</v>
      </c>
      <c r="AZ156" s="61"/>
      <c r="BA156" s="61"/>
      <c r="BB156" s="61"/>
      <c r="BC156" s="61"/>
      <c r="BD156" s="61"/>
      <c r="BE156" s="61"/>
      <c r="BF156" s="61"/>
      <c r="BG156" s="61"/>
      <c r="BH156" s="61"/>
      <c r="BI156" s="61"/>
      <c r="BJ156" s="61"/>
      <c r="BK156" s="61"/>
      <c r="BL156" s="61"/>
      <c r="BM156" s="61"/>
      <c r="BN156" s="61"/>
      <c r="BO156" s="61"/>
      <c r="BP156" s="61"/>
      <c r="BQ156" s="61"/>
      <c r="BR156" s="61"/>
    </row>
    <row r="157" ht="15.75" customHeight="1">
      <c r="A157" s="61" t="str">
        <f>IFERROR(__xludf.DUMMYFUNCTION("""COMPUTED_VALUE"""),"Full/Partial")</f>
        <v>Full/Partial</v>
      </c>
      <c r="B157" s="62">
        <f>IFERROR(__xludf.DUMMYFUNCTION("""COMPUTED_VALUE"""),185.0)</f>
        <v>185</v>
      </c>
      <c r="C157" s="61" t="str">
        <f>IFERROR(__xludf.DUMMYFUNCTION("""COMPUTED_VALUE"""),"Partial")</f>
        <v>Partial</v>
      </c>
      <c r="D157" s="63" t="str">
        <f>IFERROR(__xludf.DUMMYFUNCTION("""COMPUTED_VALUE"""),"Submitted")</f>
        <v>Submitted</v>
      </c>
      <c r="E157" s="63">
        <f>IFERROR(__xludf.DUMMYFUNCTION("""COMPUTED_VALUE"""),46215.92986111111)</f>
        <v>46215.92986</v>
      </c>
      <c r="F157" s="61" t="str">
        <f>IFERROR(__xludf.DUMMYFUNCTION("""COMPUTED_VALUE"""),"Maarij Shamim")</f>
        <v>Maarij Shamim</v>
      </c>
      <c r="G157" s="61" t="str">
        <f>IFERROR(__xludf.DUMMYFUNCTION("""COMPUTED_VALUE"""),"Maarij Shamim")</f>
        <v>Maarij Shamim</v>
      </c>
      <c r="H157" s="61" t="str">
        <f>IFERROR(__xludf.DUMMYFUNCTION("""COMPUTED_VALUE"""),"maarij.shamim3@gmail.com")</f>
        <v>maarij.shamim3@gmail.com</v>
      </c>
      <c r="I157" s="61" t="str">
        <f>IFERROR(__xludf.DUMMYFUNCTION("""COMPUTED_VALUE"""),"maarijshamim73@gmail.com")</f>
        <v>maarijshamim73@gmail.com</v>
      </c>
      <c r="J157" s="61" t="str">
        <f>IFERROR(__xludf.DUMMYFUNCTION("""COMPUTED_VALUE"""),"House no. 104/A Cantt Road, Zhob, Pakistan")</f>
        <v>House no. 104/A Cantt Road, Zhob, Pakistan</v>
      </c>
      <c r="K157" s="61" t="str">
        <f>IFERROR(__xludf.DUMMYFUNCTION("""COMPUTED_VALUE"""),"Pakistani")</f>
        <v>Pakistani</v>
      </c>
      <c r="L157" s="64" t="str">
        <f>IFERROR(__xludf.DUMMYFUNCTION("""COMPUTED_VALUE"""),"+923318345308")</f>
        <v>+923318345308</v>
      </c>
      <c r="M157" s="64">
        <f>IFERROR(__xludf.DUMMYFUNCTION("""COMPUTED_VALUE"""),37231.0)</f>
        <v>37231</v>
      </c>
      <c r="N157" s="61" t="str">
        <f>IFERROR(__xludf.DUMMYFUNCTION("""COMPUTED_VALUE"""),"LS5166451")</f>
        <v>LS5166451</v>
      </c>
      <c r="O157" s="61" t="str">
        <f>IFERROR(__xludf.DUMMYFUNCTION("""COMPUTED_VALUE"""),"+923318345308")</f>
        <v>+923318345308</v>
      </c>
      <c r="P157" s="65" t="str">
        <f>IFERROR(__xludf.DUMMYFUNCTION("""COMPUTED_VALUE"""),"https://www.linkedin.com/in/maarij-shamim-575214202/")</f>
        <v>https://www.linkedin.com/in/maarij-shamim-575214202/</v>
      </c>
      <c r="Q157" s="67" t="str">
        <f>IFERROR(__xludf.DUMMYFUNCTION("""COMPUTED_VALUE"""),"https://www.instagram.com/maarijshamim/")</f>
        <v>https://www.instagram.com/maarijshamim/</v>
      </c>
      <c r="R157" s="61"/>
      <c r="S157" s="61" t="str">
        <f>IFERROR(__xludf.DUMMYFUNCTION("""COMPUTED_VALUE"""),"Passport_Maarij Shamim.pdf")</f>
        <v>Passport_Maarij Shamim.pdf</v>
      </c>
      <c r="T157" s="61" t="str">
        <f>IFERROR(__xludf.DUMMYFUNCTION("""COMPUTED_VALUE"""),"Headshot.jpeg")</f>
        <v>Headshot.jpeg</v>
      </c>
      <c r="U157" s="61" t="str">
        <f>IFERROR(__xludf.DUMMYFUNCTION("""COMPUTED_VALUE"""),"Bachelors")</f>
        <v>Bachelors</v>
      </c>
      <c r="V157" s="61" t="str">
        <f>IFERROR(__xludf.DUMMYFUNCTION("""COMPUTED_VALUE"""),"Bachelor of Science (B.S.)")</f>
        <v>Bachelor of Science (B.S.)</v>
      </c>
      <c r="W157" s="61" t="str">
        <f>IFERROR(__xludf.DUMMYFUNCTION("""COMPUTED_VALUE"""),"Electrical Engineering")</f>
        <v>Electrical Engineering</v>
      </c>
      <c r="X157" s="61" t="str">
        <f>IFERROR(__xludf.DUMMYFUNCTION("""COMPUTED_VALUE"""),"National University of Sciences and Technology (NUST)")</f>
        <v>National University of Sciences and Technology (NUST)</v>
      </c>
      <c r="Y157" s="61" t="str">
        <f>IFERROR(__xludf.DUMMYFUNCTION("""COMPUTED_VALUE"""),"No")</f>
        <v>No</v>
      </c>
      <c r="Z157" s="61" t="str">
        <f>IFERROR(__xludf.DUMMYFUNCTION("""COMPUTED_VALUE"""),"Pakistan")</f>
        <v>Pakistan</v>
      </c>
      <c r="AA157" s="61" t="str">
        <f>IFERROR(__xludf.DUMMYFUNCTION("""COMPUTED_VALUE"""),"No")</f>
        <v>No</v>
      </c>
      <c r="AB157" s="61" t="str">
        <f>IFERROR(__xludf.DUMMYFUNCTION("""COMPUTED_VALUE"""),"none")</f>
        <v>none</v>
      </c>
      <c r="AC157" s="61" t="str">
        <f>IFERROR(__xludf.DUMMYFUNCTION("""COMPUTED_VALUE"""),"Yes, I am experienced in academic research and manuscript preparation. I serve as the corresponding author of a research manuscript titled 'An AI-Supported Sustainability Readiness Framework for Small Satellite Programs in Emerging Nations,' which was sub"&amp;"mitted to the Space Policy journal.")</f>
        <v>Yes, I am experienced in academic research and manuscript preparation. I serve as the corresponding author of a research manuscript titled 'An AI-Supported Sustainability Readiness Framework for Small Satellite Programs in Emerging Nations,' which was submitted to the Space Policy journal.</v>
      </c>
      <c r="AD157" s="61" t="str">
        <f>IFERROR(__xludf.DUMMYFUNCTION("""COMPUTED_VALUE"""),"Xylem Water Solutions (Clean Shield Project)")</f>
        <v>Xylem Water Solutions (Clean Shield Project)</v>
      </c>
      <c r="AE157" s="65" t="str">
        <f>IFERROR(__xludf.DUMMYFUNCTION("""COMPUTED_VALUE"""),"https://www.xylem.com/en-us/")</f>
        <v>https://www.xylem.com/en-us/</v>
      </c>
      <c r="AF157" s="61" t="str">
        <f>IFERROR(__xludf.DUMMYFUNCTION("""COMPUTED_VALUE"""),"IoT Systems Developer &amp; Environmental Researcher — designed black carbon monitoring sensors for glacial environments.")</f>
        <v>IoT Systems Developer &amp; Environmental Researcher — designed black carbon monitoring sensors for glacial environments.</v>
      </c>
      <c r="AG157" s="61" t="str">
        <f>IFERROR(__xludf.DUMMYFUNCTION("""COMPUTED_VALUE"""),"1")</f>
        <v>1</v>
      </c>
      <c r="AH157" s="61" t="str">
        <f>IFERROR(__xludf.DUMMYFUNCTION("""COMPUTED_VALUE"""),"No")</f>
        <v>No</v>
      </c>
      <c r="AI157" s="61"/>
      <c r="AJ157" s="61" t="str">
        <f>IFERROR(__xludf.DUMMYFUNCTION("""COMPUTED_VALUE"""),"No")</f>
        <v>No</v>
      </c>
      <c r="AK157" s="61"/>
      <c r="AL157" s="61" t="str">
        <f>IFERROR(__xludf.DUMMYFUNCTION("""COMPUTED_VALUE"""),"Autonomous Systems, IoT &amp; Embedded Hardware (ESP32, Arduino, PCB Design), AI/Machine Learning, Python, C/C++, MATLAB, Sensor Fusion, Telemetry Systems, Environmental Data Processing, Technical Research &amp; Writing, Cross-cultural Leadership, Public Speaking")</f>
        <v>Autonomous Systems, IoT &amp; Embedded Hardware (ESP32, Arduino, PCB Design), AI/Machine Learning, Python, C/C++, MATLAB, Sensor Fusion, Telemetry Systems, Environmental Data Processing, Technical Research &amp; Writing, Cross-cultural Leadership, Public Speaking</v>
      </c>
      <c r="AM157" s="61" t="str">
        <f>IFERROR(__xludf.DUMMYFUNCTION("""COMPUTED_VALUE"""),"Resume.Maarij Shamim.pdf")</f>
        <v>Resume.Maarij Shamim.pdf</v>
      </c>
      <c r="AN157" s="61" t="str">
        <f>IFERROR(__xludf.DUMMYFUNCTION("""COMPUTED_VALUE"""),"Yes, and I didn't wait to start. Growing up in Pakistan, I watched glaciers retreat and floods displace communities while the world debated climate policy. So I built technology to fight back. I developed IoT sensors to monitor black carbon in glacial env"&amp;"ironments, winning the Xylem Global Innovation Challenge 2025. I co-developed an IoT-based  smart urban waste management that became a Global Winner at the Climate Hack Challenge in Singapore. I also built AI agents that automate carbon auditing for organ"&amp;"izations that can't afford sustainability teams. I published research on satellite sustainability frameworks. Each project was a deliberate act  not a resume line. Changing the world, I've learned, starts with solving one real problem in one real place.")</f>
        <v>Yes, and I didn't wait to start. Growing up in Pakistan, I watched glaciers retreat and floods displace communities while the world debated climate policy. So I built technology to fight back. I developed IoT sensors to monitor black carbon in glacial environments, winning the Xylem Global Innovation Challenge 2025. I co-developed an IoT-based  smart urban waste management that became a Global Winner at the Climate Hack Challenge in Singapore. I also built AI agents that automate carbon auditing for organizations that can't afford sustainability teams. I published research on satellite sustainability frameworks. Each project was a deliberate act  not a resume line. Changing the world, I've learned, starts with solving one real problem in one real place.</v>
      </c>
      <c r="AO157" s="61" t="str">
        <f>IFERROR(__xludf.DUMMYFUNCTION("""COMPUTED_VALUE"""),"I think the United States is still the most important country in diplomacy today.
It's not just because of its military, but because of its unmatched ability to shape global norms, institutions, and narratives. From the UN framework to climate agreements,"&amp;" US engagement or withdrawal sends ripples worldwide. But right now, this influence is being challenged.China's Belt and Road Initiative, the EU's strong regulations, and the growing voice of the Global South are all competing for influence.Real diplomati"&amp;"c power today isn't just about being strong, but about being able to bring different groups together despite their differences.")</f>
        <v>I think the United States is still the most important country in diplomacy today.
It's not just because of its military, but because of its unmatched ability to shape global norms, institutions, and narratives. From the UN framework to climate agreements, US engagement or withdrawal sends ripples worldwide. But right now, this influence is being challenged.China's Belt and Road Initiative, the EU's strong regulations, and the growing voice of the Global South are all competing for influence.Real diplomatic power today isn't just about being strong, but about being able to bring different groups together despite their differences.</v>
      </c>
      <c r="AP157" s="61" t="str">
        <f>IFERROR(__xludf.DUMMYFUNCTION("""COMPUTED_VALUE"""),"Youth are not the future of diplomacy, we are its present. The urgent challenges we face, like climate change, demand perspectives from the generation that will live with them longest. Public diplomacy is where that engagement happens. Unlike formal state"&amp;"craft behind closed doors, public diplomacy operates through shared values, cultural exchange, and authentic human connection to build trust between societies. I care deeply about this both as an engineer and as someone who advocates for change.Being chos"&amp;"en as a global delegate for the Rise Young Leaders Summit in Japan showed me that young people's voices matter on the world stage, and it emphasized how important it is to have conversations across borders.Also, working with UNESCO on projects related to "&amp;"media and digital literacy to fight misinformation has strengthened my belief in using international platforms to address issues that address regional vulnerabilities.
As an engineer building AI-enabled climate technology, I know that advanced data means "&amp;"nothing if there is no cross-border trust to implement solutions. Building that trust across cultures, disciplines, and borders, is precisely what public diplomacy achieves. Youth bring an authenticity, technological fluency, and urgency that traditional "&amp;"diplomacy desperately needs. By translating grassroots innovation into global collaborative policy, we turn local resilience into global progress.")</f>
        <v>Youth are not the future of diplomacy, we are its present. The urgent challenges we face, like climate change, demand perspectives from the generation that will live with them longest. Public diplomacy is where that engagement happens. Unlike formal statecraft behind closed doors, public diplomacy operates through shared values, cultural exchange, and authentic human connection to build trust between societies. I care deeply about this both as an engineer and as someone who advocates for change.Being chosen as a global delegate for the Rise Young Leaders Summit in Japan showed me that young people's voices matter on the world stage, and it emphasized how important it is to have conversations across borders.Also, working with UNESCO on projects related to media and digital literacy to fight misinformation has strengthened my belief in using international platforms to address issues that address regional vulnerabilities.
As an engineer building AI-enabled climate technology, I know that advanced data means nothing if there is no cross-border trust to implement solutions. Building that trust across cultures, disciplines, and borders, is precisely what public diplomacy achieves. Youth bring an authenticity, technological fluency, and urgency that traditional diplomacy desperately needs. By translating grassroots innovation into global collaborative policy, we turn local resilience into global progress.</v>
      </c>
      <c r="AQ157" s="61" t="str">
        <f>IFERROR(__xludf.DUMMYFUNCTION("""COMPUTED_VALUE"""),"Passion is not excitement, excitement fades. Passion is what keeps you debugging a sensor circuit at 2am in a city with load shedding, because you know that sensor could protect a glacier that millions depend on. It's the force that converts rejection int"&amp;"o redirection.
My passion is creating technology that helps the most climate-affected people in the world. It has pushed me to write research, win competitions, and speak for Pakistan on global platforms not because these things were easy, but because the"&amp;" reason behind them made the hard parts worth it. Passion also helps you focus better. When you really care about something, you stop looking for opportunities by chance and start looking for them on purpose.Every meeting I attend, every paper I write, ev"&amp;"ery system I design is connected to one main goal; using engineering to help weak communities fight climate change.")</f>
        <v>Passion is not excitement, excitement fades. Passion is what keeps you debugging a sensor circuit at 2am in a city with load shedding, because you know that sensor could protect a glacier that millions depend on. It's the force that converts rejection into redirection.
My passion is creating technology that helps the most climate-affected people in the world. It has pushed me to write research, win competitions, and speak for Pakistan on global platforms not because these things were easy, but because the reason behind them made the hard parts worth it. Passion also helps you focus better. When you really care about something, you stop looking for opportunities by chance and start looking for them on purpose.Every meeting I attend, every paper I write, every system I design is connected to one main goal; using engineering to help weak communities fight climate change.</v>
      </c>
      <c r="AR157" s="61" t="str">
        <f>IFERROR(__xludf.DUMMYFUNCTION("""COMPUTED_VALUE"""),"Creativity for me is not about aesthetics; it is about finding unexpected solutions to real problems. When I developed a black carbon monitoring system for Pakistan's glaciers, the creative leap wasn't the technology itself. It was realizing that a low-co"&amp;"st IoT sensor network could generate the kind of environmental data that previously only well-funded research institutions could produce. That data becomes a diplomatic tool because it tells Pakistan's climate story with evidence, not just emotion.
The sa"&amp;"me idea works for public diplomacy too.The best diplomacy efforts now aren’t just about press releases or big meetings.They’re about sharing stories through pictures that show data, short movies, local projects, and working with people from different cult"&amp;"ures.These efforts make people feel an emotion first, before they start thinking about it.
My strategy would be to use technology as a storytelling medium. Imagine real-time glacier data displayed publicly in Jakarta, or a collaborative climate dashboard "&amp;"built by youth delegates from ten countries. These aren't just technical projects. They are acts of diplomacy that help people understand global issues in a personal and local way.
Creativity in public diplomacy means making people from different cultures"&amp;" see themselves in the same problem. That is what I do as an engineer, and that is what I would bring to Jakarta.")</f>
        <v>Creativity for me is not about aesthetics; it is about finding unexpected solutions to real problems. When I developed a black carbon monitoring system for Pakistan's glaciers, the creative leap wasn't the technology itself. It was realizing that a low-cost IoT sensor network could generate the kind of environmental data that previously only well-funded research institutions could produce. That data becomes a diplomatic tool because it tells Pakistan's climate story with evidence, not just emotion.
The same idea works for public diplomacy too.The best diplomacy efforts now aren’t just about press releases or big meetings.They’re about sharing stories through pictures that show data, short movies, local projects, and working with people from different cultures.These efforts make people feel an emotion first, before they start thinking about it.
My strategy would be to use technology as a storytelling medium. Imagine real-time glacier data displayed publicly in Jakarta, or a collaborative climate dashboard built by youth delegates from ten countries. These aren't just technical projects. They are acts of diplomacy that help people understand global issues in a personal and local way.
Creativity in public diplomacy means making people from different cultures see themselves in the same problem. That is what I do as an engineer, and that is what I would bring to Jakarta.</v>
      </c>
      <c r="AS157" s="61" t="str">
        <f>IFERROR(__xludf.DUMMYFUNCTION("""COMPUTED_VALUE"""),"Yes")</f>
        <v>Yes</v>
      </c>
      <c r="AT157" s="61" t="str">
        <f>IFERROR(__xludf.DUMMYFUNCTION("""COMPUTED_VALUE"""),"Yes")</f>
        <v>Yes</v>
      </c>
      <c r="AU157" s="61" t="str">
        <f>IFERROR(__xludf.DUMMYFUNCTION("""COMPUTED_VALUE"""),"Strategy, Peace &amp; Cultural Diplomacy")</f>
        <v>Strategy, Peace &amp; Cultural Diplomacy</v>
      </c>
      <c r="AV157" s="61" t="str">
        <f>IFERROR(__xludf.DUMMYFUNCTION("""COMPUTED_VALUE"""),"Scholarship Corner website")</f>
        <v>Scholarship Corner website</v>
      </c>
      <c r="AW157" s="61" t="str">
        <f>IFERROR(__xludf.DUMMYFUNCTION("""COMPUTED_VALUE"""),"Public Diplomacy in the 21st Century")</f>
        <v>Public Diplomacy in the 21st Century</v>
      </c>
      <c r="AX157" s="66" t="str">
        <f>IFERROR(__xludf.DUMMYFUNCTION("""COMPUTED_VALUE"""),"Yes")</f>
        <v>Yes</v>
      </c>
      <c r="AY157" s="66">
        <f>IFERROR(__xludf.DUMMYFUNCTION("""COMPUTED_VALUE"""),15.99)</f>
        <v>15.99</v>
      </c>
      <c r="AZ157" s="61"/>
      <c r="BA157" s="61"/>
      <c r="BB157" s="61"/>
      <c r="BC157" s="61"/>
      <c r="BD157" s="61"/>
      <c r="BE157" s="61"/>
      <c r="BF157" s="61"/>
      <c r="BG157" s="61"/>
      <c r="BH157" s="61"/>
      <c r="BI157" s="61"/>
      <c r="BJ157" s="61"/>
      <c r="BK157" s="61"/>
      <c r="BL157" s="61"/>
      <c r="BM157" s="61"/>
      <c r="BN157" s="61"/>
      <c r="BO157" s="61"/>
      <c r="BP157" s="61"/>
      <c r="BQ157" s="61"/>
      <c r="BR157" s="61"/>
    </row>
    <row r="158" ht="15.75" customHeight="1">
      <c r="A158" s="61" t="str">
        <f>IFERROR(__xludf.DUMMYFUNCTION("""COMPUTED_VALUE"""),"Full")</f>
        <v>Full</v>
      </c>
      <c r="B158" s="62">
        <f>IFERROR(__xludf.DUMMYFUNCTION("""COMPUTED_VALUE"""),186.0)</f>
        <v>186</v>
      </c>
      <c r="C158" s="61" t="str">
        <f>IFERROR(__xludf.DUMMYFUNCTION("""COMPUTED_VALUE"""),"Full")</f>
        <v>Full</v>
      </c>
      <c r="D158" s="63" t="str">
        <f>IFERROR(__xludf.DUMMYFUNCTION("""COMPUTED_VALUE"""),"Submitted")</f>
        <v>Submitted</v>
      </c>
      <c r="E158" s="63">
        <f>IFERROR(__xludf.DUMMYFUNCTION("""COMPUTED_VALUE"""),46215.98958333334)</f>
        <v>46215.98958</v>
      </c>
      <c r="F158" s="61" t="str">
        <f>IFERROR(__xludf.DUMMYFUNCTION("""COMPUTED_VALUE"""),"Eshan Jaipuriar")</f>
        <v>Eshan Jaipuriar</v>
      </c>
      <c r="G158" s="61" t="str">
        <f>IFERROR(__xludf.DUMMYFUNCTION("""COMPUTED_VALUE"""),"Eshan Jaipuriar")</f>
        <v>Eshan Jaipuriar</v>
      </c>
      <c r="H158" s="61" t="str">
        <f>IFERROR(__xludf.DUMMYFUNCTION("""COMPUTED_VALUE"""),"jaipuriar.eshan@gmail.com")</f>
        <v>jaipuriar.eshan@gmail.com</v>
      </c>
      <c r="I158" s="61" t="str">
        <f>IFERROR(__xludf.DUMMYFUNCTION("""COMPUTED_VALUE"""),"eshan.hzb@gmail.com")</f>
        <v>eshan.hzb@gmail.com</v>
      </c>
      <c r="J158" s="61" t="str">
        <f>IFERROR(__xludf.DUMMYFUNCTION("""COMPUTED_VALUE"""),"FL. NO. 9D, OAK FOREST APARTMENT, NEAR ISM CHOWK ARGORA, RANCHI, India")</f>
        <v>FL. NO. 9D, OAK FOREST APARTMENT, NEAR ISM CHOWK ARGORA, RANCHI, India</v>
      </c>
      <c r="K158" s="61" t="str">
        <f>IFERROR(__xludf.DUMMYFUNCTION("""COMPUTED_VALUE"""),"Indian")</f>
        <v>Indian</v>
      </c>
      <c r="L158" s="64" t="str">
        <f>IFERROR(__xludf.DUMMYFUNCTION("""COMPUTED_VALUE"""),"+918698437843")</f>
        <v>+918698437843</v>
      </c>
      <c r="M158" s="64">
        <f>IFERROR(__xludf.DUMMYFUNCTION("""COMPUTED_VALUE"""),34686.0)</f>
        <v>34686</v>
      </c>
      <c r="N158" s="61" t="str">
        <f>IFERROR(__xludf.DUMMYFUNCTION("""COMPUTED_VALUE"""),"U8280896")</f>
        <v>U8280896</v>
      </c>
      <c r="O158" s="61" t="str">
        <f>IFERROR(__xludf.DUMMYFUNCTION("""COMPUTED_VALUE"""),"+919431140735")</f>
        <v>+919431140735</v>
      </c>
      <c r="P158" s="61" t="str">
        <f>IFERROR(__xludf.DUMMYFUNCTION("""COMPUTED_VALUE"""),"https://www.linkedin.com/in/eshan-  jaipuriar-05490398/")</f>
        <v>https://www.linkedin.com/in/eshan-  jaipuriar-05490398/</v>
      </c>
      <c r="Q158" s="61"/>
      <c r="R158" s="61"/>
      <c r="S158" s="61" t="str">
        <f>IFERROR(__xludf.DUMMYFUNCTION("""COMPUTED_VALUE"""),"Passport_Eshan Jaipuriar_051835.pdf")</f>
        <v>Passport_Eshan Jaipuriar_051835.pdf</v>
      </c>
      <c r="T158" s="61" t="str">
        <f>IFERROR(__xludf.DUMMYFUNCTION("""COMPUTED_VALUE"""),"personal_photo_1762368209.jpg")</f>
        <v>personal_photo_1762368209.jpg</v>
      </c>
      <c r="U158" s="61" t="str">
        <f>IFERROR(__xludf.DUMMYFUNCTION("""COMPUTED_VALUE"""),"Master of Laws in Corporate and Financial Laws")</f>
        <v>Master of Laws in Corporate and Financial Laws</v>
      </c>
      <c r="V158" s="61" t="str">
        <f>IFERROR(__xludf.DUMMYFUNCTION("""COMPUTED_VALUE"""),"LL.M.")</f>
        <v>LL.M.</v>
      </c>
      <c r="W158" s="61" t="str">
        <f>IFERROR(__xludf.DUMMYFUNCTION("""COMPUTED_VALUE"""),"Corporate and Financial Laws")</f>
        <v>Corporate and Financial Laws</v>
      </c>
      <c r="X158" s="61" t="str">
        <f>IFERROR(__xludf.DUMMYFUNCTION("""COMPUTED_VALUE"""),"O.P. Jindal Global University")</f>
        <v>O.P. Jindal Global University</v>
      </c>
      <c r="Y158" s="61" t="str">
        <f>IFERROR(__xludf.DUMMYFUNCTION("""COMPUTED_VALUE"""),"No")</f>
        <v>No</v>
      </c>
      <c r="Z158" s="61" t="str">
        <f>IFERROR(__xludf.DUMMYFUNCTION("""COMPUTED_VALUE"""),"India")</f>
        <v>India</v>
      </c>
      <c r="AA158" s="61" t="str">
        <f>IFERROR(__xludf.DUMMYFUNCTION("""COMPUTED_VALUE"""),"Yes")</f>
        <v>Yes</v>
      </c>
      <c r="AB158" s="61" t="str">
        <f>IFERROR(__xludf.DUMMYFUNCTION("""COMPUTED_VALUE"""),"Leiden University, The Hague")</f>
        <v>Leiden University, The Hague</v>
      </c>
      <c r="AC158" s="61" t="str">
        <f>IFERROR(__xludf.DUMMYFUNCTION("""COMPUTED_VALUE"""),"Yes")</f>
        <v>Yes</v>
      </c>
      <c r="AD158" s="61" t="str">
        <f>IFERROR(__xludf.DUMMYFUNCTION("""COMPUTED_VALUE"""),"Jan Shikshan Sansthan, Ministry of Skill Development")</f>
        <v>Jan Shikshan Sansthan, Ministry of Skill Development</v>
      </c>
      <c r="AE158" s="61"/>
      <c r="AF158" s="61" t="str">
        <f>IFERROR(__xludf.DUMMYFUNCTION("""COMPUTED_VALUE"""),"Legal Aawarness Assocate")</f>
        <v>Legal Aawarness Assocate</v>
      </c>
      <c r="AG158" s="61" t="str">
        <f>IFERROR(__xludf.DUMMYFUNCTION("""COMPUTED_VALUE"""),"1")</f>
        <v>1</v>
      </c>
      <c r="AH158" s="61" t="str">
        <f>IFERROR(__xludf.DUMMYFUNCTION("""COMPUTED_VALUE"""),"Yes")</f>
        <v>Yes</v>
      </c>
      <c r="AI158" s="61" t="str">
        <f>IFERROR(__xludf.DUMMYFUNCTION("""COMPUTED_VALUE"""),"Legal Consultant (Grade-1), International Financial Services Centres Authority")</f>
        <v>Legal Consultant (Grade-1), International Financial Services Centres Authority</v>
      </c>
      <c r="AJ158" s="61" t="str">
        <f>IFERROR(__xludf.DUMMYFUNCTION("""COMPUTED_VALUE"""),"No")</f>
        <v>No</v>
      </c>
      <c r="AK158" s="61"/>
      <c r="AL158" s="61" t="str">
        <f>IFERROR(__xludf.DUMMYFUNCTION("""COMPUTED_VALUE"""),"Lawyers with experienene in Government Sector")</f>
        <v>Lawyers with experienene in Government Sector</v>
      </c>
      <c r="AM158" s="61" t="str">
        <f>IFERROR(__xludf.DUMMYFUNCTION("""COMPUTED_VALUE"""),"Eshan Jaipuriar_ Resume_2026.pdf")</f>
        <v>Eshan Jaipuriar_ Resume_2026.pdf</v>
      </c>
      <c r="AN158" s="61" t="str">
        <f>IFERROR(__xludf.DUMMYFUNCTION("""COMPUTED_VALUE"""),"Being brought up in a small town in eastern India, I have seen firsthand, the impact that law and public policy have on the masses. Growing up I saw how access to credit has been a problem for small businesses owners and in few instances where credit was "&amp;"available, the interest rates were quite high, leading to fear of bankruptcy.Bankruptcy in smaller towns in India is ""stigmatized"" rather than being seen as genuine business failure, which is part of any creative venture. Through my work in India's inso"&amp;"lvency ecosystem, I have advocated for strengthening personal insolvency and expanding access to dignified debt resolution for individuals and small businesses. My research argues that entrepreneurs should not be permanently burdened by business failure b"&amp;"ut should receive an honourable legal exit that enables them to rebuild and innovate again. By contributing to policy discussions, publishing research, and supporting reforms that reduce information asymmetry and improve insolvency frameworks, I hope to f"&amp;"oster an entrepreneurial ecosystem where failure is treated as a stepping stone, not a life sentence.")</f>
        <v>Being brought up in a small town in eastern India, I have seen firsthand, the impact that law and public policy have on the masses. Growing up I saw how access to credit has been a problem for small businesses owners and in few instances where credit was available, the interest rates were quite high, leading to fear of bankruptcy.Bankruptcy in smaller towns in India is "stigmatized" rather than being seen as genuine business failure, which is part of any creative venture. Through my work in India's insolvency ecosystem, I have advocated for strengthening personal insolvency and expanding access to dignified debt resolution for individuals and small businesses. My research argues that entrepreneurs should not be permanently burdened by business failure but should receive an honourable legal exit that enables them to rebuild and innovate again. By contributing to policy discussions, publishing research, and supporting reforms that reduce information asymmetry and improve insolvency frameworks, I hope to foster an entrepreneurial ecosystem where failure is treated as a stepping stone, not a life sentence.</v>
      </c>
      <c r="AO158" s="61" t="str">
        <f>IFERROR(__xludf.DUMMYFUNCTION("""COMPUTED_VALUE"""),"India is one of the most diplomatically significant countries in today's geopolitical landscape. It uniquely maintains strategic partnerships across both the East and the West, enabling it to act as a credible bridge in an increasingly fragmented world. B"&amp;"acked by a young demographic, technological innovation, and its emergence as the world's third-largest economy, India's global influence continues to expand, be it through the International Financial Services Centres Authority (IFSCA) which regulates as G"&amp;"IFT City to position it alongside leading financial centres such as DIFC and ADGM. India's regulatory and economic rise increasingly shapes global finance and diplomacy.")</f>
        <v>India is one of the most diplomatically significant countries in today's geopolitical landscape. It uniquely maintains strategic partnerships across both the East and the West, enabling it to act as a credible bridge in an increasingly fragmented world. Backed by a young demographic, technological innovation, and its emergence as the world's third-largest economy, India's global influence continues to expand, be it through the International Financial Services Centres Authority (IFSCA) which regulates as GIFT City to position it alongside leading financial centres such as DIFC and ADGM. India's regulatory and economic rise increasingly shapes global finance and diplomacy.</v>
      </c>
      <c r="AP158" s="61" t="str">
        <f>IFERROR(__xludf.DUMMYFUNCTION("""COMPUTED_VALUE"""),"Youth are not merely future leaders of diplomacy they are its present-day innovators, capable of shaping international cooperation through ideas, technology, entrepreneurship, and policy. In an interconnected world, diplomacy extends beyond governments to"&amp;" include academics, professionals, civil society, and young changemakers who build trust across borders and address shared global challenges.
I relate strongly to the idea of public diplomacy because my work lies at the intersection of law, finance, and "&amp;"international cooperation. At the International Financial Services Centres Authority (IFSCA), I contribute to developing regulatory frameworks that position GIFT City as a globally competitive financial centre alongside jurisdictions such as DIFC and ADGM"&amp;". Effective regulation is itself a form of public diplomacy, reflecting a country's commitment to transparency, innovation, and investor confidence.
My work in insolvency law has further reinforced that sound legal institutions create opportunities for e"&amp;"conomic resilience and cross-border collaboration. Through my research advocating stronger personal insolvency frameworks, I have argued that entrepreneurs deserve an honourable exit from financial distress, enabling innovation and sustainable growth. I b"&amp;"elieve youth can strengthen diplomacy by combining professional expertise with empathy, fostering dialogue, and advancing policies that create inclusive economic opportunities while enhancing their country's credibility and influence on the global stage.")</f>
        <v>Youth are not merely future leaders of diplomacy they are its present-day innovators, capable of shaping international cooperation through ideas, technology, entrepreneurship, and policy. In an interconnected world, diplomacy extends beyond governments to include academics, professionals, civil society, and young changemakers who build trust across borders and address shared global challenges.
I relate strongly to the idea of public diplomacy because my work lies at the intersection of law, finance, and international cooperation. At the International Financial Services Centres Authority (IFSCA), I contribute to developing regulatory frameworks that position GIFT City as a globally competitive financial centre alongside jurisdictions such as DIFC and ADGM. Effective regulation is itself a form of public diplomacy, reflecting a country's commitment to transparency, innovation, and investor confidence.
My work in insolvency law has further reinforced that sound legal institutions create opportunities for economic resilience and cross-border collaboration. Through my research advocating stronger personal insolvency frameworks, I have argued that entrepreneurs deserve an honourable exit from financial distress, enabling innovation and sustainable growth. I believe youth can strengthen diplomacy by combining professional expertise with empathy, fostering dialogue, and advancing policies that create inclusive economic opportunities while enhancing their country's credibility and influence on the global stage.</v>
      </c>
      <c r="AQ158" s="61" t="str">
        <f>IFERROR(__xludf.DUMMYFUNCTION("""COMPUTED_VALUE"""),"To me, passion is the ability to remain committed to a purpose even when the outcome is uncertain. It is not a momentary emotion but a sustained drive to learn, improve, and create meaningful impact. My passion lies in using law and public policy to stren"&amp;"gthen financial systems that promote entrepreneurship and economic resilience.
This passion has shaped my journey from specialising in insolvency law and publishing research on improving India's credit ecosystem to contributing to financial sector regula"&amp;"tion at the International Financial Services Centres Authority (IFSCA). It has motivated me to pursue opportunities beyond my immediate responsibilities, including international training in arbitration and continuous learning in global financial regulatio"&amp;"n.
Passion gives direction to ambition. It enables me to persevere through setbacks, embrace new challenges, and remain focused on long-term goals. I believe that consistent effort, guided by purpose, is what ultimately transforms aspirations into meanin"&amp;"gful and lasting contributions.")</f>
        <v>To me, passion is the ability to remain committed to a purpose even when the outcome is uncertain. It is not a momentary emotion but a sustained drive to learn, improve, and create meaningful impact. My passion lies in using law and public policy to strengthen financial systems that promote entrepreneurship and economic resilience.
This passion has shaped my journey from specialising in insolvency law and publishing research on improving India's credit ecosystem to contributing to financial sector regulation at the International Financial Services Centres Authority (IFSCA). It has motivated me to pursue opportunities beyond my immediate responsibilities, including international training in arbitration and continuous learning in global financial regulation.
Passion gives direction to ambition. It enables me to persevere through setbacks, embrace new challenges, and remain focused on long-term goals. I believe that consistent effort, guided by purpose, is what ultimately transforms aspirations into meaningful and lasting contributions.</v>
      </c>
      <c r="AR158" s="61" t="str">
        <f>IFERROR(__xludf.DUMMYFUNCTION("""COMPUTED_VALUE"""),"I consider myself a creative person,  because I enjoy finding innovative solutions to complex public policy and legal challenges. Creativity, to me, means connecting ideas across disciplines and designing practical solutions that create long-term impact. "&amp;"My research on expanding personal insolvency frameworks to provide an honourable exit for entrepreneurs reflects this mindset by reimagining legal systems to encourage innovation rather than penalise failure.
In public diplomacy, creativity is essential "&amp;"for making a country's values, achievements, and aspirations relatable to global audiences. Rather than relying solely on official narratives, effective public diplomacy should showcase real stories of innovation, entrepreneurship, culture, and institutio"&amp;"nal excellence. India's emergence as a global technology hub, its digital public infrastructure, and the rise of GIFT City as an international financial centre are compelling examples that can strengthen India's global image.
Drawing from my experience a"&amp;"t the International Financial Services Centres Authority (IFSCA), I believe policy itself can be a tool of diplomacy. Transparent regulation, investor confidence, and international collaboration enhance a nation's credibility. By combining creative commun"&amp;"ication with evidence-based policymaking, public diplomacy can build trust, foster partnerships, and project a confident, forward-looking image of India to the world.")</f>
        <v>I consider myself a creative person,  because I enjoy finding innovative solutions to complex public policy and legal challenges. Creativity, to me, means connecting ideas across disciplines and designing practical solutions that create long-term impact. My research on expanding personal insolvency frameworks to provide an honourable exit for entrepreneurs reflects this mindset by reimagining legal systems to encourage innovation rather than penalise failure.
In public diplomacy, creativity is essential for making a country's values, achievements, and aspirations relatable to global audiences. Rather than relying solely on official narratives, effective public diplomacy should showcase real stories of innovation, entrepreneurship, culture, and institutional excellence. India's emergence as a global technology hub, its digital public infrastructure, and the rise of GIFT City as an international financial centre are compelling examples that can strengthen India's global image.
Drawing from my experience at the International Financial Services Centres Authority (IFSCA), I believe policy itself can be a tool of diplomacy. Transparent regulation, investor confidence, and international collaboration enhance a nation's credibility. By combining creative communication with evidence-based policymaking, public diplomacy can build trust, foster partnerships, and project a confident, forward-looking image of India to the world.</v>
      </c>
      <c r="AS158" s="61" t="str">
        <f>IFERROR(__xludf.DUMMYFUNCTION("""COMPUTED_VALUE"""),"Yes")</f>
        <v>Yes</v>
      </c>
      <c r="AT158" s="61" t="str">
        <f>IFERROR(__xludf.DUMMYFUNCTION("""COMPUTED_VALUE"""),"Yes")</f>
        <v>Yes</v>
      </c>
      <c r="AU158" s="61" t="str">
        <f>IFERROR(__xludf.DUMMYFUNCTION("""COMPUTED_VALUE"""),"Global Politics, Diplomacy &amp; Identities")</f>
        <v>Global Politics, Diplomacy &amp; Identities</v>
      </c>
      <c r="AV158" s="61" t="str">
        <f>IFERROR(__xludf.DUMMYFUNCTION("""COMPUTED_VALUE"""),"Linkedin")</f>
        <v>Linkedin</v>
      </c>
      <c r="AW158" s="61"/>
      <c r="AX158" s="66" t="str">
        <f>IFERROR(__xludf.DUMMYFUNCTION("""COMPUTED_VALUE"""),"Yes")</f>
        <v>Yes</v>
      </c>
      <c r="AY158" s="66">
        <f>IFERROR(__xludf.DUMMYFUNCTION("""COMPUTED_VALUE"""),15.99)</f>
        <v>15.99</v>
      </c>
      <c r="AZ158" s="61"/>
      <c r="BA158" s="61"/>
      <c r="BB158" s="61"/>
      <c r="BC158" s="61"/>
      <c r="BD158" s="61"/>
      <c r="BE158" s="61"/>
      <c r="BF158" s="61"/>
      <c r="BG158" s="61"/>
      <c r="BH158" s="61"/>
      <c r="BI158" s="61"/>
      <c r="BJ158" s="61"/>
      <c r="BK158" s="61"/>
      <c r="BL158" s="61"/>
      <c r="BM158" s="61"/>
      <c r="BN158" s="61"/>
      <c r="BO158" s="61"/>
      <c r="BP158" s="61"/>
      <c r="BQ158" s="61"/>
      <c r="BR158" s="61"/>
    </row>
    <row r="159" ht="15.75" customHeight="1">
      <c r="A159" s="61" t="str">
        <f>IFERROR(__xludf.DUMMYFUNCTION("""COMPUTED_VALUE"""),"Full")</f>
        <v>Full</v>
      </c>
      <c r="B159" s="62">
        <f>IFERROR(__xludf.DUMMYFUNCTION("""COMPUTED_VALUE"""),187.0)</f>
        <v>187</v>
      </c>
      <c r="C159" s="61" t="str">
        <f>IFERROR(__xludf.DUMMYFUNCTION("""COMPUTED_VALUE"""),"Partial")</f>
        <v>Partial</v>
      </c>
      <c r="D159" s="63" t="str">
        <f>IFERROR(__xludf.DUMMYFUNCTION("""COMPUTED_VALUE"""),"Submitted")</f>
        <v>Submitted</v>
      </c>
      <c r="E159" s="63">
        <f>IFERROR(__xludf.DUMMYFUNCTION("""COMPUTED_VALUE"""),46216.12291666667)</f>
        <v>46216.12292</v>
      </c>
      <c r="F159" s="61" t="str">
        <f>IFERROR(__xludf.DUMMYFUNCTION("""COMPUTED_VALUE"""),"Katsiaryna Zhukovich")</f>
        <v>Katsiaryna Zhukovich</v>
      </c>
      <c r="G159" s="61" t="str">
        <f>IFERROR(__xludf.DUMMYFUNCTION("""COMPUTED_VALUE"""),"Katsiaryna Zhukovich")</f>
        <v>Katsiaryna Zhukovich</v>
      </c>
      <c r="H159" s="61" t="str">
        <f>IFERROR(__xludf.DUMMYFUNCTION("""COMPUTED_VALUE"""),"zukovich.ka@gmail.com")</f>
        <v>zukovich.ka@gmail.com</v>
      </c>
      <c r="I159" s="61" t="str">
        <f>IFERROR(__xludf.DUMMYFUNCTION("""COMPUTED_VALUE"""),"katsiaryna.zhukovich@intego-group.com")</f>
        <v>katsiaryna.zhukovich@intego-group.com</v>
      </c>
      <c r="J159" s="61" t="str">
        <f>IFERROR(__xludf.DUMMYFUNCTION("""COMPUTED_VALUE"""),"Chmielna 73C, Warsaw, Poland")</f>
        <v>Chmielna 73C, Warsaw, Poland</v>
      </c>
      <c r="K159" s="61" t="str">
        <f>IFERROR(__xludf.DUMMYFUNCTION("""COMPUTED_VALUE"""),"Belarussian")</f>
        <v>Belarussian</v>
      </c>
      <c r="L159" s="64" t="str">
        <f>IFERROR(__xludf.DUMMYFUNCTION("""COMPUTED_VALUE"""),"+48516369913")</f>
        <v>+48516369913</v>
      </c>
      <c r="M159" s="64">
        <f>IFERROR(__xludf.DUMMYFUNCTION("""COMPUTED_VALUE"""),35297.0)</f>
        <v>35297</v>
      </c>
      <c r="N159" s="61" t="str">
        <f>IFERROR(__xludf.DUMMYFUNCTION("""COMPUTED_VALUE"""),"AB4015268")</f>
        <v>AB4015268</v>
      </c>
      <c r="O159" s="61" t="str">
        <f>IFERROR(__xludf.DUMMYFUNCTION("""COMPUTED_VALUE"""),"+375297233553")</f>
        <v>+375297233553</v>
      </c>
      <c r="P159" s="65" t="str">
        <f>IFERROR(__xludf.DUMMYFUNCTION("""COMPUTED_VALUE"""),"https://www.linkedin.com/in/katsiaryna-zhukovich/")</f>
        <v>https://www.linkedin.com/in/katsiaryna-zhukovich/</v>
      </c>
      <c r="Q159" s="61"/>
      <c r="R159" s="61"/>
      <c r="S159" s="61" t="str">
        <f>IFERROR(__xludf.DUMMYFUNCTION("""COMPUTED_VALUE"""),"Passport_Katsiaryna Zhukovich.heic")</f>
        <v>Passport_Katsiaryna Zhukovich.heic</v>
      </c>
      <c r="T159" s="61" t="str">
        <f>IFERROR(__xludf.DUMMYFUNCTION("""COMPUTED_VALUE"""),"IMG_8897.JPG")</f>
        <v>IMG_8897.JPG</v>
      </c>
      <c r="U159" s="61" t="str">
        <f>IFERROR(__xludf.DUMMYFUNCTION("""COMPUTED_VALUE"""),"MA")</f>
        <v>MA</v>
      </c>
      <c r="V159" s="61" t="str">
        <f>IFERROR(__xludf.DUMMYFUNCTION("""COMPUTED_VALUE"""),"Masters in Arts")</f>
        <v>Masters in Arts</v>
      </c>
      <c r="W159" s="61" t="str">
        <f>IFERROR(__xludf.DUMMYFUNCTION("""COMPUTED_VALUE"""),"International relations and intercultural communication")</f>
        <v>International relations and intercultural communication</v>
      </c>
      <c r="X159" s="61" t="str">
        <f>IFERROR(__xludf.DUMMYFUNCTION("""COMPUTED_VALUE"""),"University of Lodz")</f>
        <v>University of Lodz</v>
      </c>
      <c r="Y159" s="61" t="str">
        <f>IFERROR(__xludf.DUMMYFUNCTION("""COMPUTED_VALUE"""),"No")</f>
        <v>No</v>
      </c>
      <c r="Z159" s="61" t="str">
        <f>IFERROR(__xludf.DUMMYFUNCTION("""COMPUTED_VALUE"""),"Poland")</f>
        <v>Poland</v>
      </c>
      <c r="AA159" s="61" t="str">
        <f>IFERROR(__xludf.DUMMYFUNCTION("""COMPUTED_VALUE"""),"Yes")</f>
        <v>Yes</v>
      </c>
      <c r="AB159" s="61" t="str">
        <f>IFERROR(__xludf.DUMMYFUNCTION("""COMPUTED_VALUE"""),"Belarus, Slovakia, Slovenia")</f>
        <v>Belarus, Slovakia, Slovenia</v>
      </c>
      <c r="AC159" s="61" t="str">
        <f>IFERROR(__xludf.DUMMYFUNCTION("""COMPUTED_VALUE"""),"yes")</f>
        <v>yes</v>
      </c>
      <c r="AD159" s="61" t="str">
        <f>IFERROR(__xludf.DUMMYFUNCTION("""COMPUTED_VALUE"""),"AIESEC")</f>
        <v>AIESEC</v>
      </c>
      <c r="AE159" s="65" t="str">
        <f>IFERROR(__xludf.DUMMYFUNCTION("""COMPUTED_VALUE"""),"https://aiesec.org")</f>
        <v>https://aiesec.org</v>
      </c>
      <c r="AF159" s="61" t="str">
        <f>IFERROR(__xludf.DUMMYFUNCTION("""COMPUTED_VALUE"""),"I was involved in the establishment of a AIESEC community service organization in Minsk, Belarus aimed at promoting volunteerism among students and young professionals. Encouraging to broaden cultural understanding and be less stereotyped and biased. I we"&amp;"nt to Azerbaijan with AIESEC as volunteer to lead by example and teach English to kids and adults.")</f>
        <v>I was involved in the establishment of a AIESEC community service organization in Minsk, Belarus aimed at promoting volunteerism among students and young professionals. Encouraging to broaden cultural understanding and be less stereotyped and biased. I went to Azerbaijan with AIESEC as volunteer to lead by example and teach English to kids and adults.</v>
      </c>
      <c r="AG159" s="61" t="str">
        <f>IFERROR(__xludf.DUMMYFUNCTION("""COMPUTED_VALUE"""),"3")</f>
        <v>3</v>
      </c>
      <c r="AH159" s="61" t="str">
        <f>IFERROR(__xludf.DUMMYFUNCTION("""COMPUTED_VALUE"""),"Yes")</f>
        <v>Yes</v>
      </c>
      <c r="AI159" s="61" t="str">
        <f>IFERROR(__xludf.DUMMYFUNCTION("""COMPUTED_VALUE"""),"Human Resources manager, Facilitator, International keynote speaker")</f>
        <v>Human Resources manager, Facilitator, International keynote speaker</v>
      </c>
      <c r="AJ159" s="61"/>
      <c r="AK159" s="61"/>
      <c r="AL159" s="61" t="str">
        <f>IFERROR(__xludf.DUMMYFUNCTION("""COMPUTED_VALUE"""),"Cultural Exchange Facilitation,Public Speaking,Team Collaboration,Creative Problem-Solving,Event Planning,Intercultural Communication consultant")</f>
        <v>Cultural Exchange Facilitation,Public Speaking,Team Collaboration,Creative Problem-Solving,Event Planning,Intercultural Communication consultant</v>
      </c>
      <c r="AM159" s="61" t="str">
        <f>IFERROR(__xludf.DUMMYFUNCTION("""COMPUTED_VALUE"""),"CV - KATSIARYNA ZHUKOVICH -2026.pdf")</f>
        <v>CV - KATSIARYNA ZHUKOVICH -2026.pdf</v>
      </c>
      <c r="AN159" s="61" t="str">
        <f>IFERROR(__xludf.DUMMYFUNCTION("""COMPUTED_VALUE"""),"I am taking an action to slowly change the world. I've partnered with Indonesia's Ministry of Education. We created an education mentorship program. It connected young adults to professionals. It linked them to local businesses. This empowered them. It he"&amp;"lped them find their path. As an HR professional, I focus on career mapping. I upskill younger colleagues. I want to ensure that young people are not only employable but also adaptable and ready to contribute to startups and social enterprises across regi"&amp;"ons. My experience in designing people-focused programs for diverse teams has laid a strong foundation for this work, and I am committed to enhancing these competencies through structured training, coaching, and mentoring.This is direct action for future "&amp;"readiness. I hope I can contribute to building resilient, diverse organizations that drive sustainable economic growth. I aim to reach a broader audience and make a more significant impact.")</f>
        <v>I am taking an action to slowly change the world. I've partnered with Indonesia's Ministry of Education. We created an education mentorship program. It connected young adults to professionals. It linked them to local businesses. This empowered them. It helped them find their path. As an HR professional, I focus on career mapping. I upskill younger colleagues. I want to ensure that young people are not only employable but also adaptable and ready to contribute to startups and social enterprises across regions. My experience in designing people-focused programs for diverse teams has laid a strong foundation for this work, and I am committed to enhancing these competencies through structured training, coaching, and mentoring.This is direct action for future readiness. I hope I can contribute to building resilient, diverse organizations that drive sustainable economic growth. I aim to reach a broader audience and make a more significant impact.</v>
      </c>
      <c r="AO159" s="61" t="str">
        <f>IFERROR(__xludf.DUMMYFUNCTION("""COMPUTED_VALUE"""),"In my view, Ukraine is a diplomatically significant country today. Its ongoing conflict with Russia has reshaped global geopolitics, drawing attention to issues of sovereignty and territorial integrity. Ukraine's struggle has united many nations, highligh"&amp;"ting the importance of collective security and international cooperation. As I managed multinational teams during this crisis, I witnessed in my work environment how deeply these tensions impacted relationships and trust among colleagues. Navigating these"&amp;" challenges required sensitivity and diplomacy, underscoring Ukraine's role in shaping discussions around conflict resolution and peacebuilding on the global stage. Its situation serves as a critical reminder of the complexities of international relations"&amp;".")</f>
        <v>In my view, Ukraine is a diplomatically significant country today. Its ongoing conflict with Russia has reshaped global geopolitics, drawing attention to issues of sovereignty and territorial integrity. Ukraine's struggle has united many nations, highlighting the importance of collective security and international cooperation. As I managed multinational teams during this crisis, I witnessed in my work environment how deeply these tensions impacted relationships and trust among colleagues. Navigating these challenges required sensitivity and diplomacy, underscoring Ukraine's role in shaping discussions around conflict resolution and peacebuilding on the global stage. Its situation serves as a critical reminder of the complexities of international relations.</v>
      </c>
      <c r="AP159" s="61" t="str">
        <f>IFERROR(__xludf.DUMMYFUNCTION("""COMPUTED_VALUE"""),"In my experience, engaging with diverse groups has shown me how youth can bridge gaps. We possess the energy and passion to advocate for important issues like climate change, human rights, and social justice that quite oftenly ignored by older generations"&amp;" of diplomats. As young people, we are often more open to dialogue and collaboration. By participating in discussions and initiatives, we can influence policy and promote peace. Public diplomacy emphasizes the importance of communication and relationship-"&amp;"building across borders.Through social media we connect with others on shared values. That allows us to challenge stereotypes and foster empathy.
Public diplomacy emphasizes the importance of soft power using cultural exchange and dialogue to influence ot"&amp;"hers.
In my daily life I manage complex human-related projects, mediate conflicts, building trust across differences. This is public diplomacy on a smaller scale.")</f>
        <v>In my experience, engaging with diverse groups has shown me how youth can bridge gaps. We possess the energy and passion to advocate for important issues like climate change, human rights, and social justice that quite oftenly ignored by older generations of diplomats. As young people, we are often more open to dialogue and collaboration. By participating in discussions and initiatives, we can influence policy and promote peace. Public diplomacy emphasizes the importance of communication and relationship-building across borders.Through social media we connect with others on shared values. That allows us to challenge stereotypes and foster empathy.
Public diplomacy emphasizes the importance of soft power using cultural exchange and dialogue to influence others.
In my daily life I manage complex human-related projects, mediate conflicts, building trust across differences. This is public diplomacy on a smaller scale.</v>
      </c>
      <c r="AQ159" s="61" t="str">
        <f>IFERROR(__xludf.DUMMYFUNCTION("""COMPUTED_VALUE"""),"My greatest passion is observing and understanding humans. I believe that people are at the heart of every organization and community. Participating in diverse initiatives, from establishing community service organizations to collaborating with government"&amp;"al bodies, has strengthened my belief that meaningful change begins with understanding and connecting people from different backgrounds. These experiences have fueled my passion for promoting cross-cultural collaboration, civic engagement, and youth empow"&amp;"erment. 
As an HR Advisor, my motto is ""to see humans in human resources."" This means I focus on recognizing each person's unique qualities, talents, and needs. I've worked across multiple countries and cultures, which has strengthened my ability to con"&amp;"nect with diverse individuals. My passion helps me create inclusive environments where everyone feels valued. It also drives me to listen carefully and understand different perspectives. This approach has helped me lead successful HR initiatives, promote "&amp;"cultural intelligence, and engage youth effectively. I believe that truly seeing and appreciating people is key to achieving meaningful and sustainable outcomes. My passion inspires me to keep learning about human behavior and to foster collaboration acro"&amp;"ss borders, making a positive impact wherever I go.")</f>
        <v>My greatest passion is observing and understanding humans. I believe that people are at the heart of every organization and community. Participating in diverse initiatives, from establishing community service organizations to collaborating with governmental bodies, has strengthened my belief that meaningful change begins with understanding and connecting people from different backgrounds. These experiences have fueled my passion for promoting cross-cultural collaboration, civic engagement, and youth empowerment. 
As an HR Advisor, my motto is "to see humans in human resources." This means I focus on recognizing each person's unique qualities, talents, and needs. I've worked across multiple countries and cultures, which has strengthened my ability to connect with diverse individuals. My passion helps me create inclusive environments where everyone feels valued. It also drives me to listen carefully and understand different perspectives. This approach has helped me lead successful HR initiatives, promote cultural intelligence, and engage youth effectively. I believe that truly seeing and appreciating people is key to achieving meaningful and sustainable outcomes. My passion inspires me to keep learning about human behavior and to foster collaboration across borders, making a positive impact wherever I go.</v>
      </c>
      <c r="AR159" s="61" t="str">
        <f>IFERROR(__xludf.DUMMYFUNCTION("""COMPUTED_VALUE"""),"I would like to believe that I am a creative person. I use my HR experience globally. I've worked in 8  countries. I see cultures connect. I see them sometimes clash. My creativity lies in finding common ground. It's in building understanding. Public dipl"&amp;"omacy is all about connection. It’s about influencing audiences. It's about building positive relationships abroad. My experience directly applies here.
I  see myself as a bridge between cultures, eager to learn, share, and grow. I am also passionate abou"&amp;"t sharing my knowledge and experiences with others. I am using my previous experience in conducting cross-cultural communication webinars as speaker and working on a book titled ""National Happiness Secrets"". My goal is to create shared meaning. To foste"&amp;"r mutual respect. This is the heart of public diplomacy. Happiness is universal, but how we find it is cultural.")</f>
        <v>I would like to believe that I am a creative person. I use my HR experience globally. I've worked in 8  countries. I see cultures connect. I see them sometimes clash. My creativity lies in finding common ground. It's in building understanding. Public diplomacy is all about connection. It’s about influencing audiences. It's about building positive relationships abroad. My experience directly applies here.
I  see myself as a bridge between cultures, eager to learn, share, and grow. I am also passionate about sharing my knowledge and experiences with others. I am using my previous experience in conducting cross-cultural communication webinars as speaker and working on a book titled "National Happiness Secrets". My goal is to create shared meaning. To foster mutual respect. This is the heart of public diplomacy. Happiness is universal, but how we find it is cultural.</v>
      </c>
      <c r="AS159" s="61" t="str">
        <f>IFERROR(__xludf.DUMMYFUNCTION("""COMPUTED_VALUE"""),"Yes")</f>
        <v>Yes</v>
      </c>
      <c r="AT159" s="61" t="str">
        <f>IFERROR(__xludf.DUMMYFUNCTION("""COMPUTED_VALUE"""),"Yes")</f>
        <v>Yes</v>
      </c>
      <c r="AU159" s="61" t="str">
        <f>IFERROR(__xludf.DUMMYFUNCTION("""COMPUTED_VALUE"""),"Arts, Culture &amp; Soft Power")</f>
        <v>Arts, Culture &amp; Soft Power</v>
      </c>
      <c r="AV159" s="61" t="str">
        <f>IFERROR(__xludf.DUMMYFUNCTION("""COMPUTED_VALUE"""),"Scholarship portal in Telegram")</f>
        <v>Scholarship portal in Telegram</v>
      </c>
      <c r="AW159" s="61" t="str">
        <f>IFERROR(__xludf.DUMMYFUNCTION("""COMPUTED_VALUE"""),"Soft, Smart, and Hard Power + Strategic Communication")</f>
        <v>Soft, Smart, and Hard Power + Strategic Communication</v>
      </c>
      <c r="AX159" s="66" t="str">
        <f>IFERROR(__xludf.DUMMYFUNCTION("""COMPUTED_VALUE"""),"Yes")</f>
        <v>Yes</v>
      </c>
      <c r="AY159" s="66">
        <f>IFERROR(__xludf.DUMMYFUNCTION("""COMPUTED_VALUE"""),15.99)</f>
        <v>15.99</v>
      </c>
      <c r="AZ159" s="61"/>
      <c r="BA159" s="61"/>
      <c r="BB159" s="61"/>
      <c r="BC159" s="61"/>
      <c r="BD159" s="61"/>
      <c r="BE159" s="61"/>
      <c r="BF159" s="61"/>
      <c r="BG159" s="61"/>
      <c r="BH159" s="61"/>
      <c r="BI159" s="61"/>
      <c r="BJ159" s="61"/>
      <c r="BK159" s="61"/>
      <c r="BL159" s="61"/>
      <c r="BM159" s="61"/>
      <c r="BN159" s="61"/>
      <c r="BO159" s="61"/>
      <c r="BP159" s="61"/>
      <c r="BQ159" s="61"/>
      <c r="BR159" s="61"/>
    </row>
    <row r="160" ht="15.75" customHeight="1">
      <c r="A160" s="61" t="str">
        <f>IFERROR(__xludf.DUMMYFUNCTION("""COMPUTED_VALUE"""),"Self")</f>
        <v>Self</v>
      </c>
      <c r="B160" s="62">
        <f>IFERROR(__xludf.DUMMYFUNCTION("""COMPUTED_VALUE"""),188.0)</f>
        <v>188</v>
      </c>
      <c r="C160" s="61" t="str">
        <f>IFERROR(__xludf.DUMMYFUNCTION("""COMPUTED_VALUE"""),"Self")</f>
        <v>Self</v>
      </c>
      <c r="D160" s="63" t="str">
        <f>IFERROR(__xludf.DUMMYFUNCTION("""COMPUTED_VALUE"""),"Submitted")</f>
        <v>Submitted</v>
      </c>
      <c r="E160" s="63">
        <f>IFERROR(__xludf.DUMMYFUNCTION("""COMPUTED_VALUE"""),46216.12847222222)</f>
        <v>46216.12847</v>
      </c>
      <c r="F160" s="61" t="str">
        <f>IFERROR(__xludf.DUMMYFUNCTION("""COMPUTED_VALUE"""),"Daniel Shalangwa")</f>
        <v>Daniel Shalangwa</v>
      </c>
      <c r="G160" s="61" t="str">
        <f>IFERROR(__xludf.DUMMYFUNCTION("""COMPUTED_VALUE"""),"Daniel Shalangwa")</f>
        <v>Daniel Shalangwa</v>
      </c>
      <c r="H160" s="61" t="str">
        <f>IFERROR(__xludf.DUMMYFUNCTION("""COMPUTED_VALUE"""),"shalangwadaniel@gmail.com")</f>
        <v>shalangwadaniel@gmail.com</v>
      </c>
      <c r="I160" s="61" t="str">
        <f>IFERROR(__xludf.DUMMYFUNCTION("""COMPUTED_VALUE"""),"danielshalangwa@yahoo.com")</f>
        <v>danielshalangwa@yahoo.com</v>
      </c>
      <c r="J160" s="61" t="str">
        <f>IFERROR(__xludf.DUMMYFUNCTION("""COMPUTED_VALUE"""),"omar bongo close off maitama sule street, abuja, Nigeria")</f>
        <v>omar bongo close off maitama sule street, abuja, Nigeria</v>
      </c>
      <c r="K160" s="61" t="str">
        <f>IFERROR(__xludf.DUMMYFUNCTION("""COMPUTED_VALUE"""),"Nigeria")</f>
        <v>Nigeria</v>
      </c>
      <c r="L160" s="64" t="str">
        <f>IFERROR(__xludf.DUMMYFUNCTION("""COMPUTED_VALUE"""),"+2349061388605")</f>
        <v>+2349061388605</v>
      </c>
      <c r="M160" s="64">
        <f>IFERROR(__xludf.DUMMYFUNCTION("""COMPUTED_VALUE"""),36925.0)</f>
        <v>36925</v>
      </c>
      <c r="N160" s="61" t="str">
        <f>IFERROR(__xludf.DUMMYFUNCTION("""COMPUTED_VALUE"""),"B00872834")</f>
        <v>B00872834</v>
      </c>
      <c r="O160" s="61" t="str">
        <f>IFERROR(__xludf.DUMMYFUNCTION("""COMPUTED_VALUE"""),"08038678711")</f>
        <v>08038678711</v>
      </c>
      <c r="P160" s="61"/>
      <c r="Q160" s="61" t="str">
        <f>IFERROR(__xludf.DUMMYFUNCTION("""COMPUTED_VALUE"""),"dm_shalangwa")</f>
        <v>dm_shalangwa</v>
      </c>
      <c r="R160" s="61" t="str">
        <f>IFERROR(__xludf.DUMMYFUNCTION("""COMPUTED_VALUE"""),"daniel shalangwa")</f>
        <v>daniel shalangwa</v>
      </c>
      <c r="S160" s="61" t="str">
        <f>IFERROR(__xludf.DUMMYFUNCTION("""COMPUTED_VALUE"""),"DANIEL'S SCANNED PASSPORT.pdf")</f>
        <v>DANIEL'S SCANNED PASSPORT.pdf</v>
      </c>
      <c r="T160" s="61" t="str">
        <f>IFERROR(__xludf.DUMMYFUNCTION("""COMPUTED_VALUE"""),"passport.jpg")</f>
        <v>passport.jpg</v>
      </c>
      <c r="U160" s="61" t="str">
        <f>IFERROR(__xludf.DUMMYFUNCTION("""COMPUTED_VALUE"""),"Bachelors")</f>
        <v>Bachelors</v>
      </c>
      <c r="V160" s="61" t="str">
        <f>IFERROR(__xludf.DUMMYFUNCTION("""COMPUTED_VALUE"""),"International Studies")</f>
        <v>International Studies</v>
      </c>
      <c r="W160" s="61" t="str">
        <f>IFERROR(__xludf.DUMMYFUNCTION("""COMPUTED_VALUE"""),"Global Diplomacy")</f>
        <v>Global Diplomacy</v>
      </c>
      <c r="X160" s="61" t="str">
        <f>IFERROR(__xludf.DUMMYFUNCTION("""COMPUTED_VALUE"""),"Ahmadu Bello University Zaria")</f>
        <v>Ahmadu Bello University Zaria</v>
      </c>
      <c r="Y160" s="61" t="str">
        <f>IFERROR(__xludf.DUMMYFUNCTION("""COMPUTED_VALUE"""),"Yes")</f>
        <v>Yes</v>
      </c>
      <c r="Z160" s="61" t="str">
        <f>IFERROR(__xludf.DUMMYFUNCTION("""COMPUTED_VALUE"""),"Nigeria")</f>
        <v>Nigeria</v>
      </c>
      <c r="AA160" s="61" t="str">
        <f>IFERROR(__xludf.DUMMYFUNCTION("""COMPUTED_VALUE"""),"No")</f>
        <v>No</v>
      </c>
      <c r="AB160" s="61"/>
      <c r="AC160" s="61" t="str">
        <f>IFERROR(__xludf.DUMMYFUNCTION("""COMPUTED_VALUE"""),"yes")</f>
        <v>yes</v>
      </c>
      <c r="AD160" s="61" t="str">
        <f>IFERROR(__xludf.DUMMYFUNCTION("""COMPUTED_VALUE"""),"African Society Of International Studies")</f>
        <v>African Society Of International Studies</v>
      </c>
      <c r="AE160" s="61"/>
      <c r="AF160" s="61" t="str">
        <f>IFERROR(__xludf.DUMMYFUNCTION("""COMPUTED_VALUE"""),"Secretary General")</f>
        <v>Secretary General</v>
      </c>
      <c r="AG160" s="61" t="str">
        <f>IFERROR(__xludf.DUMMYFUNCTION("""COMPUTED_VALUE"""),"1 year")</f>
        <v>1 year</v>
      </c>
      <c r="AH160" s="61" t="str">
        <f>IFERROR(__xludf.DUMMYFUNCTION("""COMPUTED_VALUE"""),"No")</f>
        <v>No</v>
      </c>
      <c r="AI160" s="61"/>
      <c r="AJ160" s="61"/>
      <c r="AK160" s="61"/>
      <c r="AL160" s="61" t="str">
        <f>IFERROR(__xludf.DUMMYFUNCTION("""COMPUTED_VALUE"""),"management")</f>
        <v>management</v>
      </c>
      <c r="AM160" s="61" t="str">
        <f>IFERROR(__xludf.DUMMYFUNCTION("""COMPUTED_VALUE"""),"Daniel's Curriculum Vitae.pdf")</f>
        <v>Daniel's Curriculum Vitae.pdf</v>
      </c>
      <c r="AN160" s="61" t="str">
        <f>IFERROR(__xludf.DUMMYFUNCTION("""COMPUTED_VALUE"""),"Yes, I believe changing the world begins with localized, impactful leadership. During my university studies, I served as the Secretary General for the African Society of International Studies. In this capacity, I took personal initiative to bridge the gap"&amp;" between theoretical diplomacy and practical action by organizing academic forums and peer-mentorship workshops. By creating spaces for youth to analyze global affairs, I empowered my peers to see themselves as active global citizens. Real impact lies in "&amp;"building institutional platforms that foster the next generation of diplomatic minds, one community at a time.")</f>
        <v>Yes, I believe changing the world begins with localized, impactful leadership. During my university studies, I served as the Secretary General for the African Society of International Studies. In this capacity, I took personal initiative to bridge the gap between theoretical diplomacy and practical action by organizing academic forums and peer-mentorship workshops. By creating spaces for youth to analyze global affairs, I empowered my peers to see themselves as active global citizens. Real impact lies in building institutional platforms that foster the next generation of diplomatic minds, one community at a time.</v>
      </c>
      <c r="AO160" s="61" t="str">
        <f>IFERROR(__xludf.DUMMYFUNCTION("""COMPUTED_VALUE"""),"Indonesia is uniquely significant in contemporary global diplomacy. As the birthplace of the historic 1955 Bandung Conference, it pioneered the Non-Aligned Movement, establishing a legacy of independent and active foreign policy. Today, bridging the Globa"&amp;"l South and the West, Indonesia stands as a vital diplomatic linchpin within ASEAN and the G20. Its commitment to multilateralism, climate diplomacy, and economic cooperation makes it a crucial mediator in regional stability.")</f>
        <v>Indonesia is uniquely significant in contemporary global diplomacy. As the birthplace of the historic 1955 Bandung Conference, it pioneered the Non-Aligned Movement, establishing a legacy of independent and active foreign policy. Today, bridging the Global South and the West, Indonesia stands as a vital diplomatic linchpin within ASEAN and the G20. Its commitment to multilateralism, climate diplomacy, and economic cooperation makes it a crucial mediator in regional stability.</v>
      </c>
      <c r="AP160" s="61" t="str">
        <f>IFERROR(__xludf.DUMMYFUNCTION("""COMPUTED_VALUE"""),"Youth are no longer just future beneficiaries of diplomacy; they are its contemporary drivers. In an interconnected digital era, young people possess the agility, technological fluency, and shared global consciousness required to transcend traditional sta"&amp;"te-to-state barriers. The youth's role is to democratize international relations by injecting fresh, collaborative perspectives into complex global challenges.
I deeply relate to the idea of Public Diplomacy, as it shifts the focus from rigid state protoc"&amp;"ols to people-to-people engagement. My background in International Studies and my leadership experience as a departmental Secretary General have shown me that authentic cultural exchange, civil society dialogue, and digital storytelling are incredibly pot"&amp;"ent tools for building mutual trust. To me, public diplomacy is about humanizing international relations. By engaging directly with cross-border networks and participating in international forums like YPDS, I aim to cultivate collaborative dialogues that "&amp;"counter misinformation. Youth-led public diplomacy turns global policy into grassroots progress, ensuring that international cooperation remains inclusive, visible, and deeply rooted in shared human values.")</f>
        <v>Youth are no longer just future beneficiaries of diplomacy; they are its contemporary drivers. In an interconnected digital era, young people possess the agility, technological fluency, and shared global consciousness required to transcend traditional state-to-state barriers. The youth's role is to democratize international relations by injecting fresh, collaborative perspectives into complex global challenges.
I deeply relate to the idea of Public Diplomacy, as it shifts the focus from rigid state protocols to people-to-people engagement. My background in International Studies and my leadership experience as a departmental Secretary General have shown me that authentic cultural exchange, civil society dialogue, and digital storytelling are incredibly potent tools for building mutual trust. To me, public diplomacy is about humanizing international relations. By engaging directly with cross-border networks and participating in international forums like YPDS, I aim to cultivate collaborative dialogues that counter misinformation. Youth-led public diplomacy turns global policy into grassroots progress, ensuring that international cooperation remains inclusive, visible, and deeply rooted in shared human values.</v>
      </c>
      <c r="AQ160" s="61" t="str">
        <f>IFERROR(__xludf.DUMMYFUNCTION("""COMPUTED_VALUE"""),"Passion is an enduring, inner drive fueled by a clear sense of purpose. It is the motivation that transforms abstract career aspirations into sustained, meaningful action, keeping one resilient when faced with complex challenges or institutional setbacks."&amp;" In my journey, passion manifests as a profound commitment to understanding global governance and advocating for international cooperation.
This drive is central to achieving my goals. It motivated me to excel in my undergraduate degree and take on demand"&amp;"ing leadership roles where I could actively empower others. Passion keeps me adaptable, continually pushing me to expand my professional skillset through internships, research, and community engagement. By aligning this intrinsic energy with structured mi"&amp;"lestones, passion keeps me focused and constantly searching for innovative ways to contribute to global diplomacy.")</f>
        <v>Passion is an enduring, inner drive fueled by a clear sense of purpose. It is the motivation that transforms abstract career aspirations into sustained, meaningful action, keeping one resilient when faced with complex challenges or institutional setbacks. In my journey, passion manifests as a profound commitment to understanding global governance and advocating for international cooperation.
This drive is central to achieving my goals. It motivated me to excel in my undergraduate degree and take on demanding leadership roles where I could actively empower others. Passion keeps me adaptable, continually pushing me to expand my professional skillset through internships, research, and community engagement. By aligning this intrinsic energy with structured milestones, passion keeps me focused and constantly searching for innovative ways to contribute to global diplomacy.</v>
      </c>
      <c r="AR160" s="61" t="str">
        <f>IFERROR(__xludf.DUMMYFUNCTION("""COMPUTED_VALUE"""),"Yes, I am a creative person. In international relations, creativity means finding fresh, innovative ways to bring people together and help them understand different cultures.
To turn my creativity into an effective public diplomacy strategy, I rely on dig"&amp;"ital storytelling and social media. Traditional diplomacy often happens behind closed doors, but public diplomacy is all about building real connections between everyday citizens. By creating engaging short videos, managing interactive online campaigns, a"&amp;"nd designing relatable digital content, I can break down complex international issues into stories that resonate with young people globally.
A great creative strategy also uses data to understand what the audience cares about. By combining creative media "&amp;"with insights into digital trends, I can make sure the message actually reaches people and makes an impact. This approach changes people from passive viewers into active participants, helping to build cross-cultural trust, stop misinformation, and create "&amp;"real friendships across borders.")</f>
        <v>Yes, I am a creative person. In international relations, creativity means finding fresh, innovative ways to bring people together and help them understand different cultures.
To turn my creativity into an effective public diplomacy strategy, I rely on digital storytelling and social media. Traditional diplomacy often happens behind closed doors, but public diplomacy is all about building real connections between everyday citizens. By creating engaging short videos, managing interactive online campaigns, and designing relatable digital content, I can break down complex international issues into stories that resonate with young people globally.
A great creative strategy also uses data to understand what the audience cares about. By combining creative media with insights into digital trends, I can make sure the message actually reaches people and makes an impact. This approach changes people from passive viewers into active participants, helping to build cross-cultural trust, stop misinformation, and create real friendships across borders.</v>
      </c>
      <c r="AS160" s="61" t="str">
        <f>IFERROR(__xludf.DUMMYFUNCTION("""COMPUTED_VALUE"""),"Yes")</f>
        <v>Yes</v>
      </c>
      <c r="AT160" s="61" t="str">
        <f>IFERROR(__xludf.DUMMYFUNCTION("""COMPUTED_VALUE"""),"Yes")</f>
        <v>Yes</v>
      </c>
      <c r="AU160" s="61" t="str">
        <f>IFERROR(__xludf.DUMMYFUNCTION("""COMPUTED_VALUE"""),"Global Politics, Diplomacy &amp; Identities")</f>
        <v>Global Politics, Diplomacy &amp; Identities</v>
      </c>
      <c r="AV160" s="61" t="str">
        <f>IFERROR(__xludf.DUMMYFUNCTION("""COMPUTED_VALUE"""),"Social media")</f>
        <v>Social media</v>
      </c>
      <c r="AW160" s="61" t="str">
        <f>IFERROR(__xludf.DUMMYFUNCTION("""COMPUTED_VALUE"""),"Global Diplomacy")</f>
        <v>Global Diplomacy</v>
      </c>
      <c r="AX160" s="66" t="str">
        <f>IFERROR(__xludf.DUMMYFUNCTION("""COMPUTED_VALUE"""),"Yes")</f>
        <v>Yes</v>
      </c>
      <c r="AY160" s="66">
        <f>IFERROR(__xludf.DUMMYFUNCTION("""COMPUTED_VALUE"""),15.99)</f>
        <v>15.99</v>
      </c>
      <c r="AZ160" s="61"/>
      <c r="BA160" s="61"/>
      <c r="BB160" s="61"/>
      <c r="BC160" s="61"/>
      <c r="BD160" s="61"/>
      <c r="BE160" s="61"/>
      <c r="BF160" s="61"/>
      <c r="BG160" s="61"/>
      <c r="BH160" s="61"/>
      <c r="BI160" s="61"/>
      <c r="BJ160" s="61"/>
      <c r="BK160" s="61"/>
      <c r="BL160" s="61"/>
      <c r="BM160" s="61"/>
      <c r="BN160" s="61"/>
      <c r="BO160" s="61"/>
      <c r="BP160" s="61"/>
      <c r="BQ160" s="61"/>
      <c r="BR160" s="61"/>
    </row>
    <row r="161" ht="15.75" customHeight="1">
      <c r="A161" s="61" t="str">
        <f>IFERROR(__xludf.DUMMYFUNCTION("""COMPUTED_VALUE"""),"Full/Partial")</f>
        <v>Full/Partial</v>
      </c>
      <c r="B161" s="62">
        <f>IFERROR(__xludf.DUMMYFUNCTION("""COMPUTED_VALUE"""),189.0)</f>
        <v>189</v>
      </c>
      <c r="C161" s="61" t="str">
        <f>IFERROR(__xludf.DUMMYFUNCTION("""COMPUTED_VALUE"""),"Partial")</f>
        <v>Partial</v>
      </c>
      <c r="D161" s="63" t="str">
        <f>IFERROR(__xludf.DUMMYFUNCTION("""COMPUTED_VALUE"""),"Submitted")</f>
        <v>Submitted</v>
      </c>
      <c r="E161" s="63">
        <f>IFERROR(__xludf.DUMMYFUNCTION("""COMPUTED_VALUE"""),46216.14652777778)</f>
        <v>46216.14653</v>
      </c>
      <c r="F161" s="61" t="str">
        <f>IFERROR(__xludf.DUMMYFUNCTION("""COMPUTED_VALUE"""),"Uchechi Ibewuike")</f>
        <v>Uchechi Ibewuike</v>
      </c>
      <c r="G161" s="61" t="str">
        <f>IFERROR(__xludf.DUMMYFUNCTION("""COMPUTED_VALUE"""),"Uchechi Geld Ibewuike")</f>
        <v>Uchechi Geld Ibewuike</v>
      </c>
      <c r="H161" s="61" t="str">
        <f>IFERROR(__xludf.DUMMYFUNCTION("""COMPUTED_VALUE"""),"ugi1@williams.edu")</f>
        <v>ugi1@williams.edu</v>
      </c>
      <c r="I161" s="61" t="str">
        <f>IFERROR(__xludf.DUMMYFUNCTION("""COMPUTED_VALUE"""),"ibewuike.uchechi@yahoo.com")</f>
        <v>ibewuike.uchechi@yahoo.com</v>
      </c>
      <c r="J161" s="61"/>
      <c r="K161" s="61" t="str">
        <f>IFERROR(__xludf.DUMMYFUNCTION("""COMPUTED_VALUE"""),"American")</f>
        <v>American</v>
      </c>
      <c r="L161" s="64" t="str">
        <f>IFERROR(__xludf.DUMMYFUNCTION("""COMPUTED_VALUE"""),"8138365923")</f>
        <v>8138365923</v>
      </c>
      <c r="M161" s="64">
        <f>IFERROR(__xludf.DUMMYFUNCTION("""COMPUTED_VALUE"""),38965.0)</f>
        <v>38965</v>
      </c>
      <c r="N161" s="61" t="str">
        <f>IFERROR(__xludf.DUMMYFUNCTION("""COMPUTED_VALUE"""),"A66168976")</f>
        <v>A66168976</v>
      </c>
      <c r="O161" s="61" t="str">
        <f>IFERROR(__xludf.DUMMYFUNCTION("""COMPUTED_VALUE"""),"8135626145")</f>
        <v>8135626145</v>
      </c>
      <c r="P161" s="61"/>
      <c r="Q161" s="61"/>
      <c r="R161" s="61"/>
      <c r="S161" s="61" t="str">
        <f>IFERROR(__xludf.DUMMYFUNCTION("""COMPUTED_VALUE"""),"IMG_0294.jpeg")</f>
        <v>IMG_0294.jpeg</v>
      </c>
      <c r="T161" s="61" t="str">
        <f>IFERROR(__xludf.DUMMYFUNCTION("""COMPUTED_VALUE"""),"IMG_6676.jpeg")</f>
        <v>IMG_6676.jpeg</v>
      </c>
      <c r="U161" s="61" t="str">
        <f>IFERROR(__xludf.DUMMYFUNCTION("""COMPUTED_VALUE"""),"Bachelors")</f>
        <v>Bachelors</v>
      </c>
      <c r="V161" s="61" t="str">
        <f>IFERROR(__xludf.DUMMYFUNCTION("""COMPUTED_VALUE"""),"Economics and Neuroscience")</f>
        <v>Economics and Neuroscience</v>
      </c>
      <c r="W161" s="61"/>
      <c r="X161" s="61" t="str">
        <f>IFERROR(__xludf.DUMMYFUNCTION("""COMPUTED_VALUE"""),"Williams College")</f>
        <v>Williams College</v>
      </c>
      <c r="Y161" s="61" t="str">
        <f>IFERROR(__xludf.DUMMYFUNCTION("""COMPUTED_VALUE"""),"Yes")</f>
        <v>Yes</v>
      </c>
      <c r="Z161" s="61" t="str">
        <f>IFERROR(__xludf.DUMMYFUNCTION("""COMPUTED_VALUE"""),"United States of America")</f>
        <v>United States of America</v>
      </c>
      <c r="AA161" s="61" t="str">
        <f>IFERROR(__xludf.DUMMYFUNCTION("""COMPUTED_VALUE"""),"Yes")</f>
        <v>Yes</v>
      </c>
      <c r="AB161" s="61" t="str">
        <f>IFERROR(__xludf.DUMMYFUNCTION("""COMPUTED_VALUE"""),"Yonsei University")</f>
        <v>Yonsei University</v>
      </c>
      <c r="AC161" s="61" t="str">
        <f>IFERROR(__xludf.DUMMYFUNCTION("""COMPUTED_VALUE"""),"Yes")</f>
        <v>Yes</v>
      </c>
      <c r="AD161" s="61" t="str">
        <f>IFERROR(__xludf.DUMMYFUNCTION("""COMPUTED_VALUE"""),"Pro-Passion Project")</f>
        <v>Pro-Passion Project</v>
      </c>
      <c r="AE161" s="65" t="str">
        <f>IFERROR(__xludf.DUMMYFUNCTION("""COMPUTED_VALUE"""),"https://pro-passionprojects.org")</f>
        <v>https://pro-passionprojects.org</v>
      </c>
      <c r="AF161" s="61" t="str">
        <f>IFERROR(__xludf.DUMMYFUNCTION("""COMPUTED_VALUE"""),"Volunteer")</f>
        <v>Volunteer</v>
      </c>
      <c r="AG161" s="61" t="str">
        <f>IFERROR(__xludf.DUMMYFUNCTION("""COMPUTED_VALUE"""),"1 month")</f>
        <v>1 month</v>
      </c>
      <c r="AH161" s="61" t="str">
        <f>IFERROR(__xludf.DUMMYFUNCTION("""COMPUTED_VALUE"""),"No")</f>
        <v>No</v>
      </c>
      <c r="AI161" s="61"/>
      <c r="AJ161" s="61" t="str">
        <f>IFERROR(__xludf.DUMMYFUNCTION("""COMPUTED_VALUE"""),"Yes")</f>
        <v>Yes</v>
      </c>
      <c r="AK161" s="61" t="str">
        <f>IFERROR(__xludf.DUMMYFUNCTION("""COMPUTED_VALUE"""),"Founded a global digital health humanities platform that captures and archives international medical narratives to bridge the gap between healthcare and storytelling- ""The Vitals Project- www.vitalsproject.com""
Founded and directed a specialized Pan-Af"&amp;"rican dance initiative at Williams College, designing inclusive, movement-based arts programming tailored for neurodivergent students- ""Liquid Gold""")</f>
        <v>Founded a global digital health humanities platform that captures and archives international medical narratives to bridge the gap between healthcare and storytelling- "The Vitals Project- www.vitalsproject.com"
Founded and directed a specialized Pan-African dance initiative at Williams College, designing inclusive, movement-based arts programming tailored for neurodivergent students- "Liquid Gold"</v>
      </c>
      <c r="AL161" s="61" t="str">
        <f>IFERROR(__xludf.DUMMYFUNCTION("""COMPUTED_VALUE"""),"Writer, Public speaker, Interviewer, Choreographer, Manager/ Event Planner")</f>
        <v>Writer, Public speaker, Interviewer, Choreographer, Manager/ Event Planner</v>
      </c>
      <c r="AM161" s="61" t="str">
        <f>IFERROR(__xludf.DUMMYFUNCTION("""COMPUTED_VALUE"""),"Uchechi_Ibewuike_Resume__.pdf")</f>
        <v>Uchechi_Ibewuike_Resume__.pdf</v>
      </c>
      <c r="AN161" s="61" t="str">
        <f>IFERROR(__xludf.DUMMYFUNCTION("""COMPUTED_VALUE"""),"I created the narrative medicine project “The Vitals Project” after reflecting on my experience as a healthcare worker. There was a lack of space held for sharing my experiences and the toll the job had on me. My job had become figures and numbers rather "&amp;"than patient care. So I created vitals to be that very space and not just for me but for medical providers, students, patients and more on a global scale. Today I am collecting stories on the ground in Ghana as I complete an internship, and continue to re"&amp;"ach more people from South Korea and over 30 other countries with my stories.")</f>
        <v>I created the narrative medicine project “The Vitals Project” after reflecting on my experience as a healthcare worker. There was a lack of space held for sharing my experiences and the toll the job had on me. My job had become figures and numbers rather than patient care. So I created vitals to be that very space and not just for me but for medical providers, students, patients and more on a global scale. Today I am collecting stories on the ground in Ghana as I complete an internship, and continue to reach more people from South Korea and over 30 other countries with my stories.</v>
      </c>
      <c r="AO161" s="61" t="str">
        <f>IFERROR(__xludf.DUMMYFUNCTION("""COMPUTED_VALUE"""),"The United States of America leads the world in economic size and military power. Their influence  on global trade regulation and international policies is immense. Additionally the US currency, the dollar, is the world’s main reserve currency where other"&amp;"s form a parity to it, giving the US tremendous financial power globally. Additionally the US boasts unique treaties and alliances such as the NATO, indo-pacific accords and other non NATO alliances that none other can match, making it a diplomatically si"&amp;"gnificant country.")</f>
        <v>The United States of America leads the world in economic size and military power. Their influence  on global trade regulation and international policies is immense. Additionally the US currency, the dollar, is the world’s main reserve currency where others form a parity to it, giving the US tremendous financial power globally. Additionally the US boasts unique treaties and alliances such as the NATO, indo-pacific accords and other non NATO alliances that none other can match, making it a diplomatically significant country.</v>
      </c>
      <c r="AP161" s="61" t="str">
        <f>IFERROR(__xludf.DUMMYFUNCTION("""COMPUTED_VALUE"""),"I believe the youth's role in diplomacy is taking on active roles as policymakers and leaders in the diplomatic space. The youth make up a large part of the global population and can have a direct impact and influence on international relations. We can ac"&amp;"t as youth delegates serving official delegations at UN summits, or using social media campaigns to mobilize global audiences around human rights or environmental issues in an act of digital diplomacy. The idea of public diplomacy gives a nation the power"&amp;" to write its own narrative to the world, using cultural exchanges, one of which I have participated in over the past year, and various other techniques. An open and transparent diplomacy style is very attractive, especially to the youth. It can help fost"&amp;"er cross-cultural understanding and correct misconceptions held around the country. I believe the youth can play a big part in such a space, and I am in support of the idea of Public Diplomacy.")</f>
        <v>I believe the youth's role in diplomacy is taking on active roles as policymakers and leaders in the diplomatic space. The youth make up a large part of the global population and can have a direct impact and influence on international relations. We can act as youth delegates serving official delegations at UN summits, or using social media campaigns to mobilize global audiences around human rights or environmental issues in an act of digital diplomacy. The idea of public diplomacy gives a nation the power to write its own narrative to the world, using cultural exchanges, one of which I have participated in over the past year, and various other techniques. An open and transparent diplomacy style is very attractive, especially to the youth. It can help foster cross-cultural understanding and correct misconceptions held around the country. I believe the youth can play a big part in such a space, and I am in support of the idea of Public Diplomacy.</v>
      </c>
      <c r="AQ161" s="61" t="str">
        <f>IFERROR(__xludf.DUMMYFUNCTION("""COMPUTED_VALUE"""),"A textbook definition would be ""a drive and desire for an activity or concept,"" but to me, it goes beyond that. Passion can very well be the reason one decides to live or not the next day, a passion to live. It could also be the reason why one abandons "&amp;"a stable job to backpack across the world and discover themselves, a passion to explore and grow. To me, passion is a hunger, an insatiable desire for something, anything, and at times it makes no sense to those outside of that perspective. Passion is the"&amp;" first recipe for success, in my opinion. If you dont have a hunger and desire for what you are doing, then when hurdles and obstacles come your way, you may give up, or hide from them. However, when an obstacle comes face-to-face with passion, the only r"&amp;"oute one can take is to conquer it, and this is often the difference between achieving one's goal and letting a dream die.")</f>
        <v>A textbook definition would be "a drive and desire for an activity or concept," but to me, it goes beyond that. Passion can very well be the reason one decides to live or not the next day, a passion to live. It could also be the reason why one abandons a stable job to backpack across the world and discover themselves, a passion to explore and grow. To me, passion is a hunger, an insatiable desire for something, anything, and at times it makes no sense to those outside of that perspective. Passion is the first recipe for success, in my opinion. If you dont have a hunger and desire for what you are doing, then when hurdles and obstacles come your way, you may give up, or hide from them. However, when an obstacle comes face-to-face with passion, the only route one can take is to conquer it, and this is often the difference between achieving one's goal and letting a dream die.</v>
      </c>
      <c r="AR161" s="61" t="str">
        <f>IFERROR(__xludf.DUMMYFUNCTION("""COMPUTED_VALUE"""),"I am a creative person. As someone who buries her nose in either the sciences of the body or the laws that govern everything around us under economics, the arts are my outlet. I am a singer/songwriter, I've been a part of a band and choirs, and I privatel"&amp;"y release my own music. I also enjoy sketching, painting, and sculpting, anything to use my hands and create. I enjoy dancing, directing, and event organization. Seeing a creative vision emerge in the physical is a very rewarding experience for me. Most o"&amp;"f all, I enjoy sharing all of these with people and collaborating. Turning this into an effective public diplomacy strategy means using my skills and talents to send a non-traditional message to further a country's foreign policy goals to everyday citizen"&amp;"s. We could use visual art like interactive murals to bring people together, or organize events and talks, create digital content with foreign influencers, the options are endless. Ultimately, I can use my talents to create a strategy that could reach for"&amp;"eign citizens, youth, families, and ordinary people like myself.")</f>
        <v>I am a creative person. As someone who buries her nose in either the sciences of the body or the laws that govern everything around us under economics, the arts are my outlet. I am a singer/songwriter, I've been a part of a band and choirs, and I privately release my own music. I also enjoy sketching, painting, and sculpting, anything to use my hands and create. I enjoy dancing, directing, and event organization. Seeing a creative vision emerge in the physical is a very rewarding experience for me. Most of all, I enjoy sharing all of these with people and collaborating. Turning this into an effective public diplomacy strategy means using my skills and talents to send a non-traditional message to further a country's foreign policy goals to everyday citizens. We could use visual art like interactive murals to bring people together, or organize events and talks, create digital content with foreign influencers, the options are endless. Ultimately, I can use my talents to create a strategy that could reach foreign citizens, youth, families, and ordinary people like myself.</v>
      </c>
      <c r="AS161" s="61" t="str">
        <f>IFERROR(__xludf.DUMMYFUNCTION("""COMPUTED_VALUE"""),"Yes")</f>
        <v>Yes</v>
      </c>
      <c r="AT161" s="61" t="str">
        <f>IFERROR(__xludf.DUMMYFUNCTION("""COMPUTED_VALUE"""),"Yes")</f>
        <v>Yes</v>
      </c>
      <c r="AU161" s="61" t="str">
        <f>IFERROR(__xludf.DUMMYFUNCTION("""COMPUTED_VALUE"""),"Global Politics, Diplomacy &amp; Identities")</f>
        <v>Global Politics, Diplomacy &amp; Identities</v>
      </c>
      <c r="AV161" s="61" t="str">
        <f>IFERROR(__xludf.DUMMYFUNCTION("""COMPUTED_VALUE"""),"Google Search")</f>
        <v>Google Search</v>
      </c>
      <c r="AW161" s="61"/>
      <c r="AX161" s="66" t="str">
        <f>IFERROR(__xludf.DUMMYFUNCTION("""COMPUTED_VALUE"""),"Yes")</f>
        <v>Yes</v>
      </c>
      <c r="AY161" s="66">
        <f>IFERROR(__xludf.DUMMYFUNCTION("""COMPUTED_VALUE"""),15.99)</f>
        <v>15.99</v>
      </c>
      <c r="AZ161" s="61"/>
      <c r="BA161" s="61"/>
      <c r="BB161" s="61"/>
      <c r="BC161" s="61"/>
      <c r="BD161" s="61"/>
      <c r="BE161" s="61"/>
      <c r="BF161" s="61"/>
      <c r="BG161" s="61"/>
      <c r="BH161" s="61"/>
      <c r="BI161" s="61"/>
      <c r="BJ161" s="61"/>
      <c r="BK161" s="61"/>
      <c r="BL161" s="61"/>
      <c r="BM161" s="61"/>
      <c r="BN161" s="61"/>
      <c r="BO161" s="61"/>
      <c r="BP161" s="61"/>
      <c r="BQ161" s="61"/>
      <c r="BR161" s="61"/>
    </row>
    <row r="162" ht="15.75" customHeight="1">
      <c r="A162" s="61" t="str">
        <f>IFERROR(__xludf.DUMMYFUNCTION("""COMPUTED_VALUE"""),"Full")</f>
        <v>Full</v>
      </c>
      <c r="B162" s="62">
        <f>IFERROR(__xludf.DUMMYFUNCTION("""COMPUTED_VALUE"""),191.0)</f>
        <v>191</v>
      </c>
      <c r="C162" s="61" t="str">
        <f>IFERROR(__xludf.DUMMYFUNCTION("""COMPUTED_VALUE"""),"Partial")</f>
        <v>Partial</v>
      </c>
      <c r="D162" s="63" t="str">
        <f>IFERROR(__xludf.DUMMYFUNCTION("""COMPUTED_VALUE"""),"Submitted")</f>
        <v>Submitted</v>
      </c>
      <c r="E162" s="63">
        <f>IFERROR(__xludf.DUMMYFUNCTION("""COMPUTED_VALUE"""),46218.96388888889)</f>
        <v>46218.96389</v>
      </c>
      <c r="F162" s="61" t="str">
        <f>IFERROR(__xludf.DUMMYFUNCTION("""COMPUTED_VALUE"""),"maroua bensfia khiyat")</f>
        <v>maroua bensfia khiyat</v>
      </c>
      <c r="G162" s="61" t="str">
        <f>IFERROR(__xludf.DUMMYFUNCTION("""COMPUTED_VALUE"""),"Maroua Bensfia Khiyat")</f>
        <v>Maroua Bensfia Khiyat</v>
      </c>
      <c r="H162" s="61" t="str">
        <f>IFERROR(__xludf.DUMMYFUNCTION("""COMPUTED_VALUE"""),"brillanteestrella010@gmail.com")</f>
        <v>brillanteestrella010@gmail.com</v>
      </c>
      <c r="I162" s="61" t="str">
        <f>IFERROR(__xludf.DUMMYFUNCTION("""COMPUTED_VALUE"""),"marouabensfiakhiyat@gmail.com")</f>
        <v>marouabensfiakhiyat@gmail.com</v>
      </c>
      <c r="J162" s="61" t="str">
        <f>IFERROR(__xludf.DUMMYFUNCTION("""COMPUTED_VALUE"""),"Hondon de los frailes n16, albatera, Spain")</f>
        <v>Hondon de los frailes n16, albatera, Spain</v>
      </c>
      <c r="K162" s="61" t="str">
        <f>IFERROR(__xludf.DUMMYFUNCTION("""COMPUTED_VALUE"""),"spanish")</f>
        <v>spanish</v>
      </c>
      <c r="L162" s="64" t="str">
        <f>IFERROR(__xludf.DUMMYFUNCTION("""COMPUTED_VALUE"""),"+34610815727")</f>
        <v>+34610815727</v>
      </c>
      <c r="M162" s="64">
        <f>IFERROR(__xludf.DUMMYFUNCTION("""COMPUTED_VALUE"""),39220.0)</f>
        <v>39220</v>
      </c>
      <c r="N162" s="61" t="str">
        <f>IFERROR(__xludf.DUMMYFUNCTION("""COMPUTED_VALUE"""),"PAT110500")</f>
        <v>PAT110500</v>
      </c>
      <c r="O162" s="61" t="str">
        <f>IFERROR(__xludf.DUMMYFUNCTION("""COMPUTED_VALUE"""),"+34 631 41 63 57")</f>
        <v>+34 631 41 63 57</v>
      </c>
      <c r="P162" s="65" t="str">
        <f>IFERROR(__xludf.DUMMYFUNCTION("""COMPUTED_VALUE"""),"www.linkedin.com/in/maroua-bensfia-khiyat-b4a092374")</f>
        <v>www.linkedin.com/in/maroua-bensfia-khiyat-b4a092374</v>
      </c>
      <c r="Q162" s="61" t="str">
        <f>IFERROR(__xludf.DUMMYFUNCTION("""COMPUTED_VALUE"""),"_maaroouaa_")</f>
        <v>_maaroouaa_</v>
      </c>
      <c r="R162" s="61"/>
      <c r="S162" s="61" t="str">
        <f>IFERROR(__xludf.DUMMYFUNCTION("""COMPUTED_VALUE"""),"passport.png")</f>
        <v>passport.png</v>
      </c>
      <c r="T162" s="61" t="str">
        <f>IFERROR(__xludf.DUMMYFUNCTION("""COMPUTED_VALUE"""),"foto (1).jpg")</f>
        <v>foto (1).jpg</v>
      </c>
      <c r="U162" s="61" t="str">
        <f>IFERROR(__xludf.DUMMYFUNCTION("""COMPUTED_VALUE"""),"High school diploma")</f>
        <v>High school diploma</v>
      </c>
      <c r="V162" s="61" t="str">
        <f>IFERROR(__xludf.DUMMYFUNCTION("""COMPUTED_VALUE"""),"no")</f>
        <v>no</v>
      </c>
      <c r="W162" s="61" t="str">
        <f>IFERROR(__xludf.DUMMYFUNCTION("""COMPUTED_VALUE"""),"Interior design")</f>
        <v>Interior design</v>
      </c>
      <c r="X162" s="61" t="str">
        <f>IFERROR(__xludf.DUMMYFUNCTION("""COMPUTED_VALUE"""),"Escuela  superior de arte y diseño de orihuela")</f>
        <v>Escuela  superior de arte y diseño de orihuela</v>
      </c>
      <c r="Y162" s="61" t="str">
        <f>IFERROR(__xludf.DUMMYFUNCTION("""COMPUTED_VALUE"""),"Yes")</f>
        <v>Yes</v>
      </c>
      <c r="Z162" s="61" t="str">
        <f>IFERROR(__xludf.DUMMYFUNCTION("""COMPUTED_VALUE"""),"Spain")</f>
        <v>Spain</v>
      </c>
      <c r="AA162" s="61" t="str">
        <f>IFERROR(__xludf.DUMMYFUNCTION("""COMPUTED_VALUE"""),"No")</f>
        <v>No</v>
      </c>
      <c r="AB162" s="61"/>
      <c r="AC162" s="61" t="str">
        <f>IFERROR(__xludf.DUMMYFUNCTION("""COMPUTED_VALUE"""),"no")</f>
        <v>no</v>
      </c>
      <c r="AD162" s="61" t="str">
        <f>IFERROR(__xludf.DUMMYFUNCTION("""COMPUTED_VALUE"""),"no")</f>
        <v>no</v>
      </c>
      <c r="AE162" s="61"/>
      <c r="AF162" s="61"/>
      <c r="AG162" s="61"/>
      <c r="AH162" s="61" t="str">
        <f>IFERROR(__xludf.DUMMYFUNCTION("""COMPUTED_VALUE"""),"No")</f>
        <v>No</v>
      </c>
      <c r="AI162" s="61"/>
      <c r="AJ162" s="61" t="str">
        <f>IFERROR(__xludf.DUMMYFUNCTION("""COMPUTED_VALUE"""),"yes: Spangirls world :https://spangirlsworld.netlify.app/")</f>
        <v>yes: Spangirls world :https://spangirlsworld.netlify.app/</v>
      </c>
      <c r="AK162" s="61" t="str">
        <f>IFERROR(__xludf.DUMMYFUNCTION("""COMPUTED_VALUE"""),"Spangirls World aims to provide free Spanish education for women worldwide, promote intercultural understanding, and create an inclusive online community where women can learn, connect, and support one another regardless of their financial background.")</f>
        <v>Spangirls World aims to provide free Spanish education for women worldwide, promote intercultural understanding, and create an inclusive online community where women can learn, connect, and support one another regardless of their financial background.</v>
      </c>
      <c r="AL162" s="61" t="str">
        <f>IFERROR(__xludf.DUMMYFUNCTION("""COMPUTED_VALUE"""),"My skill set includes project management, community building, content creation, digital communication, event organization, and social media management. I enjoy developing creative initiatives that bring people together, coordinating educational activities"&amp;", and creating engaging online experiences. Through Spangirls World, I have strengthened my leadership, teamwork, cross-cultural communication, and problem-solving skills while managing an international community dedicated to learning and cultural exchang"&amp;"e.")</f>
        <v>My skill set includes project management, community building, content creation, digital communication, event organization, and social media management. I enjoy developing creative initiatives that bring people together, coordinating educational activities, and creating engaging online experiences. Through Spangirls World, I have strengthened my leadership, teamwork, cross-cultural communication, and problem-solving skills while managing an international community dedicated to learning and cultural exchange.</v>
      </c>
      <c r="AM162" s="61" t="str">
        <f>IFERROR(__xludf.DUMMYFUNCTION("""COMPUTED_VALUE"""),"maroua_bensfia_khiyat_cv.pdf")</f>
        <v>maroua_bensfia_khiyat_cv.pdf</v>
      </c>
      <c r="AN162" s="61" t="str">
        <f>IFERROR(__xludf.DUMMYFUNCTION("""COMPUTED_VALUE"""),"Yes. I believe that meaningful change often starts with small actions. That is why I founded Spangirls World, a free online initiative that helps women from around the world learn Spanish regardless of their financial situation. Beyond language learning, "&amp;"the project creates a welcoming community where participants can build confidence, connect across cultures, and support one another. By removing financial barriers to education and encouraging intercultural understanding, I hope to make learning more acce"&amp;"ssible and inclusive. This experience has shown me that even a small community can create a positive and lasting impact in people's lives.")</f>
        <v>Yes. I believe that meaningful change often starts with small actions. That is why I founded Spangirls World, a free online initiative that helps women from around the world learn Spanish regardless of their financial situation. Beyond language learning, the project creates a welcoming community where participants can build confidence, connect across cultures, and support one another. By removing financial barriers to education and encouraging intercultural understanding, I hope to make learning more accessible and inclusive. This experience has shown me that even a small community can create a positive and lasting impact in people's lives.</v>
      </c>
      <c r="AO162" s="61" t="str">
        <f>IFERROR(__xludf.DUMMYFUNCTION("""COMPUTED_VALUE"""),"I believe that no single country can solve today's global challenges alone. However, I consider the United States to be one of the most diplomatically significant countries because of its influence on international organizations, education, innovation, an"&amp;"d global policymaking. At the same time, diplomacy should be based on cooperation rather than competition. Every country has unique perspectives and strengths that contribute to addressing issues such as education, human rights, climate change, and sustai"&amp;"nable development. Effective diplomacy is built through dialogue, mutual respect, and partnerships that create positive outcomes for people around the world.")</f>
        <v>I believe that no single country can solve today's global challenges alone. However, I consider the United States to be one of the most diplomatically significant countries because of its influence on international organizations, education, innovation, and global policymaking. At the same time, diplomacy should be based on cooperation rather than competition. Every country has unique perspectives and strengths that contribute to addressing issues such as education, human rights, climate change, and sustainable development. Effective diplomacy is built through dialogue, mutual respect, and partnerships that create positive outcomes for people around the world.</v>
      </c>
      <c r="AP162" s="61" t="str">
        <f>IFERROR(__xludf.DUMMYFUNCTION("""COMPUTED_VALUE"""),"Young people play a vital role in diplomacy because they bring new ideas, creativity, and a global perspective. Thanks to digital communication, youth can connect across borders, exchange cultures, and promote understanding in ways that were not possible "&amp;"before. Public diplomacy is not only carried out by governments; individuals, communities, and young leaders also shape how countries and cultures are perceived through education, dialogue, and collaboration.
I relate to this idea through my project, Spa"&amp;"ngirls World. By offering free online Spanish classes for women from different countries, I have seen how language can create meaningful connections between people from diverse backgrounds. Beyond learning Spanish, participants share experiences, develop "&amp;"friendships, and gain a greater appreciation for different cultures. These exchanges help reduce stereotypes and encourage empathy and respect.
I believe public diplomacy begins with people. Small initiatives that promote inclusion, education, and interc"&amp;"ultural dialogue can strengthen international understanding just as much as formal diplomatic efforts. In the future, I hope to continue creating projects that connect people across cultures and demonstrate how education and community building can contrib"&amp;"ute to more peaceful and cooperative international relationships.")</f>
        <v>Young people play a vital role in diplomacy because they bring new ideas, creativity, and a global perspective. Thanks to digital communication, youth can connect across borders, exchange cultures, and promote understanding in ways that were not possible before. Public diplomacy is not only carried out by governments; individuals, communities, and young leaders also shape how countries and cultures are perceived through education, dialogue, and collaboration.
I relate to this idea through my project, Spangirls World. By offering free online Spanish classes for women from different countries, I have seen how language can create meaningful connections between people from diverse backgrounds. Beyond learning Spanish, participants share experiences, develop friendships, and gain a greater appreciation for different cultures. These exchanges help reduce stereotypes and encourage empathy and respect.
I believe public diplomacy begins with people. Small initiatives that promote inclusion, education, and intercultural dialogue can strengthen international understanding just as much as formal diplomatic efforts. In the future, I hope to continue creating projects that connect people across cultures and demonstrate how education and community building can contribute to more peaceful and cooperative international relationships.</v>
      </c>
      <c r="AQ162" s="61" t="str">
        <f>IFERROR(__xludf.DUMMYFUNCTION("""COMPUTED_VALUE"""),"To me, passion is the motivation that keeps a person moving forward despite challenges and uncertainty. It gives purpose to everyday actions and inspires continuous learning and personal growth. Passion is not only about having an idea; it is about turnin"&amp;"g that idea into meaningful action.
My passion is creating opportunities for people to learn, connect, and grow together. This inspired me to establish Spangirls World, where I work to make Spanish education more accessible while building an inclusive in"&amp;"ternational community. The experience has taught me resilience, leadership, and the importance of consistency. Every challenge has become an opportunity to improve the project and better serve the community.
I believe passion is essential for achieving l"&amp;"ong-term goals because it provides the determination to overcome obstacles and continue creating positive impact, even when progress takes time.")</f>
        <v>To me, passion is the motivation that keeps a person moving forward despite challenges and uncertainty. It gives purpose to everyday actions and inspires continuous learning and personal growth. Passion is not only about having an idea; it is about turning that idea into meaningful action.
My passion is creating opportunities for people to learn, connect, and grow together. This inspired me to establish Spangirls World, where I work to make Spanish education more accessible while building an inclusive international community. The experience has taught me resilience, leadership, and the importance of consistency. Every challenge has become an opportunity to improve the project and better serve the community.
I believe passion is essential for achieving long-term goals because it provides the determination to overcome obstacles and continue creating positive impact, even when progress takes time.</v>
      </c>
      <c r="AR162" s="61" t="str">
        <f>IFERROR(__xludf.DUMMYFUNCTION("""COMPUTED_VALUE"""),"Yes, I consider myself a creative person because I enjoy developing ideas that bring people together and create meaningful experiences. Creativity is not limited to art; it is also about finding innovative ways to solve problems and connect with others.
"&amp;"In public diplomacy, creativity can make international dialogue more engaging and accessible. Digital platforms, educational initiatives, cultural exchanges, storytelling, and community-based projects allow people from different backgrounds to understand "&amp;"one another beyond stereotypes. Through Spangirls World, I have experienced how language learning combined with a welcoming online community can strengthen intercultural understanding and build lasting relationships.
I believe creative public diplomacy f"&amp;"ocuses on people rather than politics. By using education, communication, and digital tools in innovative ways, young leaders can promote trust, respect, and cooperation across cultures, helping to create a more inclusive and connected world.")</f>
        <v>Yes, I consider myself a creative person because I enjoy developing ideas that bring people together and create meaningful experiences. Creativity is not limited to art; it is also about finding innovative ways to solve problems and connect with others.
In public diplomacy, creativity can make international dialogue more engaging and accessible. Digital platforms, educational initiatives, cultural exchanges, storytelling, and community-based projects allow people from different backgrounds to understand one another beyond stereotypes. Through Spangirls World, I have experienced how language learning combined with a welcoming online community can strengthen intercultural understanding and build lasting relationships.
I believe creative public diplomacy focuses on people rather than politics. By using education, communication, and digital tools in innovative ways, young leaders can promote trust, respect, and cooperation across cultures, helping to create a more inclusive and connected world.</v>
      </c>
      <c r="AS162" s="61" t="str">
        <f>IFERROR(__xludf.DUMMYFUNCTION("""COMPUTED_VALUE"""),"No")</f>
        <v>No</v>
      </c>
      <c r="AT162" s="61" t="str">
        <f>IFERROR(__xludf.DUMMYFUNCTION("""COMPUTED_VALUE"""),"Yes")</f>
        <v>Yes</v>
      </c>
      <c r="AU162" s="61" t="str">
        <f>IFERROR(__xludf.DUMMYFUNCTION("""COMPUTED_VALUE"""),"Arts, Culture &amp; Soft Power")</f>
        <v>Arts, Culture &amp; Soft Power</v>
      </c>
      <c r="AV162" s="61" t="str">
        <f>IFERROR(__xludf.DUMMYFUNCTION("""COMPUTED_VALUE"""),"google")</f>
        <v>google</v>
      </c>
      <c r="AW162" s="61" t="str">
        <f>IFERROR(__xludf.DUMMYFUNCTION("""COMPUTED_VALUE"""),"Intercultural Communication and Public Diplomacy")</f>
        <v>Intercultural Communication and Public Diplomacy</v>
      </c>
      <c r="AX162" s="66" t="str">
        <f>IFERROR(__xludf.DUMMYFUNCTION("""COMPUTED_VALUE"""),"Yes")</f>
        <v>Yes</v>
      </c>
      <c r="AY162" s="66">
        <f>IFERROR(__xludf.DUMMYFUNCTION("""COMPUTED_VALUE"""),15.99)</f>
        <v>15.99</v>
      </c>
      <c r="AZ162" s="61"/>
      <c r="BA162" s="61"/>
      <c r="BB162" s="61"/>
      <c r="BC162" s="61"/>
      <c r="BD162" s="61"/>
      <c r="BE162" s="61"/>
      <c r="BF162" s="61"/>
      <c r="BG162" s="61"/>
      <c r="BH162" s="61"/>
      <c r="BI162" s="61"/>
      <c r="BJ162" s="61"/>
      <c r="BK162" s="61"/>
      <c r="BL162" s="61"/>
      <c r="BM162" s="61"/>
      <c r="BN162" s="61"/>
      <c r="BO162" s="61"/>
      <c r="BP162" s="61"/>
      <c r="BQ162" s="61"/>
      <c r="BR162" s="61"/>
    </row>
    <row r="163" ht="15.75" customHeight="1">
      <c r="A163" s="61" t="str">
        <f>IFERROR(__xludf.DUMMYFUNCTION("""COMPUTED_VALUE"""),"")</f>
        <v/>
      </c>
      <c r="B163" s="62">
        <f>IFERROR(__xludf.DUMMYFUNCTION("""COMPUTED_VALUE"""),192.0)</f>
        <v>192</v>
      </c>
      <c r="C163" s="61" t="str">
        <f>IFERROR(__xludf.DUMMYFUNCTION("""COMPUTED_VALUE"""),"Self")</f>
        <v>Self</v>
      </c>
      <c r="D163" s="63" t="str">
        <f>IFERROR(__xludf.DUMMYFUNCTION("""COMPUTED_VALUE"""),"Submitted")</f>
        <v>Submitted</v>
      </c>
      <c r="E163" s="63">
        <f>IFERROR(__xludf.DUMMYFUNCTION("""COMPUTED_VALUE"""),46219.07291666666)</f>
        <v>46219.07292</v>
      </c>
      <c r="F163" s="61" t="str">
        <f>IFERROR(__xludf.DUMMYFUNCTION("""COMPUTED_VALUE"""),"AHMED ESMAIL")</f>
        <v>AHMED ESMAIL</v>
      </c>
      <c r="G163" s="61" t="str">
        <f>IFERROR(__xludf.DUMMYFUNCTION("""COMPUTED_VALUE"""),"AHMED ABDELATTY AHMED ESMAIL")</f>
        <v>AHMED ABDELATTY AHMED ESMAIL</v>
      </c>
      <c r="H163" s="61" t="str">
        <f>IFERROR(__xludf.DUMMYFUNCTION("""COMPUTED_VALUE"""),"ahmedatyph@gmail.com")</f>
        <v>ahmedatyph@gmail.com</v>
      </c>
      <c r="I163" s="61" t="str">
        <f>IFERROR(__xludf.DUMMYFUNCTION("""COMPUTED_VALUE"""),"mahmoudnoureddinaslan@gmail.com")</f>
        <v>mahmoudnoureddinaslan@gmail.com</v>
      </c>
      <c r="J163" s="61" t="str">
        <f>IFERROR(__xludf.DUMMYFUNCTION("""COMPUTED_VALUE"""),"Saudi Arabia, Hafr Al-Batin, Al-Naifiyah, Hafr Al-Batin, Saudi Arabia")</f>
        <v>Saudi Arabia, Hafr Al-Batin, Al-Naifiyah, Hafr Al-Batin, Saudi Arabia</v>
      </c>
      <c r="K163" s="61" t="str">
        <f>IFERROR(__xludf.DUMMYFUNCTION("""COMPUTED_VALUE"""),"Egyptian")</f>
        <v>Egyptian</v>
      </c>
      <c r="L163" s="64" t="str">
        <f>IFERROR(__xludf.DUMMYFUNCTION("""COMPUTED_VALUE"""),"‭+966 53 199 0693‬")</f>
        <v>‭+966 53 199 0693‬</v>
      </c>
      <c r="M163" s="64">
        <f>IFERROR(__xludf.DUMMYFUNCTION("""COMPUTED_VALUE"""),31187.0)</f>
        <v>31187</v>
      </c>
      <c r="N163" s="61" t="str">
        <f>IFERROR(__xludf.DUMMYFUNCTION("""COMPUTED_VALUE"""),"A39105486")</f>
        <v>A39105486</v>
      </c>
      <c r="O163" s="61" t="str">
        <f>IFERROR(__xludf.DUMMYFUNCTION("""COMPUTED_VALUE"""),"+905550056522")</f>
        <v>+905550056522</v>
      </c>
      <c r="P163" s="61"/>
      <c r="Q163" s="61"/>
      <c r="R163" s="61"/>
      <c r="S163" s="61" t="str">
        <f>IFERROR(__xludf.DUMMYFUNCTION("""COMPUTED_VALUE"""),"IMG_1171.jpeg")</f>
        <v>IMG_1171.jpeg</v>
      </c>
      <c r="T163" s="61" t="str">
        <f>IFERROR(__xludf.DUMMYFUNCTION("""COMPUTED_VALUE"""),"a4bd5c16-42f1-4a8e-9f0c-3ad75929c1e0.jpeg")</f>
        <v>a4bd5c16-42f1-4a8e-9f0c-3ad75929c1e0.jpeg</v>
      </c>
      <c r="U163" s="61" t="str">
        <f>IFERROR(__xludf.DUMMYFUNCTION("""COMPUTED_VALUE"""),"Becalore")</f>
        <v>Becalore</v>
      </c>
      <c r="V163" s="61" t="str">
        <f>IFERROR(__xludf.DUMMYFUNCTION("""COMPUTED_VALUE"""),"Master")</f>
        <v>Master</v>
      </c>
      <c r="W163" s="61" t="str">
        <f>IFERROR(__xludf.DUMMYFUNCTION("""COMPUTED_VALUE"""),"Farmacy")</f>
        <v>Farmacy</v>
      </c>
      <c r="X163" s="61" t="str">
        <f>IFERROR(__xludf.DUMMYFUNCTION("""COMPUTED_VALUE"""),"AL AZHER University")</f>
        <v>AL AZHER University</v>
      </c>
      <c r="Y163" s="61" t="str">
        <f>IFERROR(__xludf.DUMMYFUNCTION("""COMPUTED_VALUE"""),"Yes")</f>
        <v>Yes</v>
      </c>
      <c r="Z163" s="61" t="str">
        <f>IFERROR(__xludf.DUMMYFUNCTION("""COMPUTED_VALUE"""),"Egypt")</f>
        <v>Egypt</v>
      </c>
      <c r="AA163" s="61" t="str">
        <f>IFERROR(__xludf.DUMMYFUNCTION("""COMPUTED_VALUE"""),"No")</f>
        <v>No</v>
      </c>
      <c r="AB163" s="61"/>
      <c r="AC163" s="61" t="str">
        <f>IFERROR(__xludf.DUMMYFUNCTION("""COMPUTED_VALUE"""),"Yes")</f>
        <v>Yes</v>
      </c>
      <c r="AD163" s="61" t="str">
        <f>IFERROR(__xludf.DUMMYFUNCTION("""COMPUTED_VALUE"""),"Yes, Student activities at the Faculty of Pharmacy, Al-Azhar University.")</f>
        <v>Yes, Student activities at the Faculty of Pharmacy, Al-Azhar University.</v>
      </c>
      <c r="AE163" s="61"/>
      <c r="AF163" s="61" t="str">
        <f>IFERROR(__xludf.DUMMYFUNCTION("""COMPUTED_VALUE"""),"Director")</f>
        <v>Director</v>
      </c>
      <c r="AG163" s="61" t="str">
        <f>IFERROR(__xludf.DUMMYFUNCTION("""COMPUTED_VALUE"""),"5")</f>
        <v>5</v>
      </c>
      <c r="AH163" s="61" t="str">
        <f>IFERROR(__xludf.DUMMYFUNCTION("""COMPUTED_VALUE"""),"No")</f>
        <v>No</v>
      </c>
      <c r="AI163" s="61"/>
      <c r="AJ163" s="61" t="str">
        <f>IFERROR(__xludf.DUMMYFUNCTION("""COMPUTED_VALUE"""),"Yes")</f>
        <v>Yes</v>
      </c>
      <c r="AK163" s="61" t="str">
        <f>IFERROR(__xludf.DUMMYFUNCTION("""COMPUTED_VALUE"""),"Al-Shorouk family at the Faculty of Pharmacy, Al-Azhar University, Cairo.")</f>
        <v>Al-Shorouk family at the Faculty of Pharmacy, Al-Azhar University, Cairo.</v>
      </c>
      <c r="AL163" s="61" t="str">
        <f>IFERROR(__xludf.DUMMYFUNCTION("""COMPUTED_VALUE"""),"Leading work teams, educational comprehension, financial project management, investment fund management.")</f>
        <v>Leading work teams, educational comprehension, financial project management, investment fund management.</v>
      </c>
      <c r="AM163" s="61" t="str">
        <f>IFERROR(__xludf.DUMMYFUNCTION("""COMPUTED_VALUE"""),"IMG_1172.jpeg")</f>
        <v>IMG_1172.jpeg</v>
      </c>
      <c r="AN163" s="61" t="str">
        <f>IFERROR(__xludf.DUMMYFUNCTION("""COMPUTED_VALUE"""),"Yes — I believe change begins at the community level, where impact is most immediate. As a pharmacist and director of a pharmacy company in Saudi Arabia, I took it upon myself to expand access to affordable medication and reliable health guidance in under"&amp;"served areas. I worked to train my staff not just in dispensing medicine, but in patient education, so every visit became an opportunity to improve health literacy. Beyond my company, I have supported public health awareness initiatives in my community. I"&amp;" see this as my personal contribution to a larger goal: a healthier, more informed society.")</f>
        <v>Yes — I believe change begins at the community level, where impact is most immediate. As a pharmacist and director of a pharmacy company in Saudi Arabia, I took it upon myself to expand access to affordable medication and reliable health guidance in underserved areas. I worked to train my staff not just in dispensing medicine, but in patient education, so every visit became an opportunity to improve health literacy. Beyond my company, I have supported public health awareness initiatives in my community. I see this as my personal contribution to a larger goal: a healthier, more informed society.</v>
      </c>
      <c r="AO163" s="61" t="str">
        <f>IFERROR(__xludf.DUMMYFUNCTION("""COMPUTED_VALUE"""),"I consider Indonesia one of the world’s most diplomatically significant countries. As the largest Muslim-majority nation and the world’s third-largest democracy, it bridges cultural, religious, and political divides across Southeast Asia and beyond. Indon"&amp;"esia’s leadership in ASEAN, its active role in the G20, and its consistent advocacy for multilateralism and interfaith dialogue give it unique credibility on the global stage. Its ability to balance economic growth, religious diversity, and democratic gov"&amp;"ernance makes it a model for soft power diplomacy. Hosting international youth diplomacy platforms further reflects Indonesia’s commitment to shaping the next generation of global leaders.")</f>
        <v>I consider Indonesia one of the world’s most diplomatically significant countries. As the largest Muslim-majority nation and the world’s third-largest democracy, it bridges cultural, religious, and political divides across Southeast Asia and beyond. Indonesia’s leadership in ASEAN, its active role in the G20, and its consistent advocacy for multilateralism and interfaith dialogue give it unique credibility on the global stage. Its ability to balance economic growth, religious diversity, and democratic governance makes it a model for soft power diplomacy. Hosting international youth diplomacy platforms further reflects Indonesia’s commitment to shaping the next generation of global leaders.</v>
      </c>
      <c r="AP163" s="61" t="str">
        <f>IFERROR(__xludf.DUMMYFUNCTION("""COMPUTED_VALUE"""),"Youth play an increasingly vital role in diplomacy, not as future leaders alone, but as active participants shaping global dialogue today. Young people bring fresh perspectives, digital fluency, and a willingness to challenge outdated assumptions — qualit"&amp;"ies essential for addressing complex global challenges like health equity, climate change, and cross-cultural understanding. As someone who leads a healthcare-focused organization, I see firsthand how younger generations demand transparency, innovation, a"&amp;"nd social responsibility, pushing institutions to evolve.
I relate strongly to the idea of Public Diplomacy, which I understand as the practice of engaging directly with people — not just governments — to build mutual understanding between nations. In my"&amp;" own field, this translates into cross-border collaboration on healthcare standards, knowledge exchange with international pharmacy associations, and using my platform to advocate for accessible medicine as a form of humanitarian diplomacy. I believe yout"&amp;"h-led public diplomacy is especially powerful because it operates through genuine relationships and shared values rather than formal negotiation alone. Empowering youth to represent their countries’ culture, expertise, and values abroad strengthens intern"&amp;"ational trust from the ground up.")</f>
        <v>Youth play an increasingly vital role in diplomacy, not as future leaders alone, but as active participants shaping global dialogue today. Young people bring fresh perspectives, digital fluency, and a willingness to challenge outdated assumptions — qualities essential for addressing complex global challenges like health equity, climate change, and cross-cultural understanding. As someone who leads a healthcare-focused organization, I see firsthand how younger generations demand transparency, innovation, and social responsibility, pushing institutions to evolve.
I relate strongly to the idea of Public Diplomacy, which I understand as the practice of engaging directly with people — not just governments — to build mutual understanding between nations. In my own field, this translates into cross-border collaboration on healthcare standards, knowledge exchange with international pharmacy associations, and using my platform to advocate for accessible medicine as a form of humanitarian diplomacy. I believe youth-led public diplomacy is especially powerful because it operates through genuine relationships and shared values rather than formal negotiation alone. Empowering youth to represent their countries’ culture, expertise, and values abroad strengthens international trust from the ground up.</v>
      </c>
      <c r="AQ163" s="61" t="str">
        <f>IFERROR(__xludf.DUMMYFUNCTION("""COMPUTED_VALUE"""),"Passion, to me, is the sustained energy that drives you to pursue meaningful work even when it is difficult. It is different from motivation, which can fade — passion is rooted in purpose, and it renews itself. My passion for pharmacy and public health ha"&amp;"s shaped my entire career: it pushed me to build a company that prioritizes patient care over pure commercial gain, and it continues to drive me to look beyond my industry toward broader issues like public health awareness and international cooperation.
"&amp;"Passion helps me achieve my goals because it provides resilience. When faced with regulatory challenges, market pressures, or slow progress, passion keeps me focused on the long-term impact rather than short-term setbacks. It also inspires those around me"&amp;" — my team, my community, and now, potentially, this platform for youth diplomacy.")</f>
        <v>Passion, to me, is the sustained energy that drives you to pursue meaningful work even when it is difficult. It is different from motivation, which can fade — passion is rooted in purpose, and it renews itself. My passion for pharmacy and public health has shaped my entire career: it pushed me to build a company that prioritizes patient care over pure commercial gain, and it continues to drive me to look beyond my industry toward broader issues like public health awareness and international cooperation.
Passion helps me achieve my goals because it provides resilience. When faced with regulatory challenges, market pressures, or slow progress, passion keeps me focused on the long-term impact rather than short-term setbacks. It also inspires those around me — my team, my community, and now, potentially, this platform for youth diplomacy.</v>
      </c>
      <c r="AR163" s="61" t="str">
        <f>IFERROR(__xludf.DUMMYFUNCTION("""COMPUTED_VALUE"""),"Yes, I consider myself a creative person — not necessarily in the artistic sense, but in how I approach problem-solving. Running a pharmacy company has required me to find innovative solutions to challenges like healthcare accessibility, patient trust, an"&amp;"d operational efficiency, often by combining ideas from different disciplines: business, medicine, and community engagement.
I believe this kind of creativity translates directly into effective public diplomacy. Diplomacy is not only about formal agreeme"&amp;"nts; it is about crafting narratives and initiatives that resonate with people across cultures. My creativity would allow me to design public diplomacy strategies that connect health, humanitarian values, and cultural exchange — for example, using healthc"&amp;"are cooperation as a bridge-building tool between nations, or creating youth-focused initiatives that combine professional expertise with cultural dialogue.
Creative public diplomacy, in my view, means finding unconventional entry points to build trust — "&amp;"turning shared human concerns like health, education, and opportunity into platforms for international understanding. I see my professional background as an asset in shaping practical, human-centered diplomatic initiatives.")</f>
        <v>Yes, I consider myself a creative person — not necessarily in the artistic sense, but in how I approach problem-solving. Running a pharmacy company has required me to find innovative solutions to challenges like healthcare accessibility, patient trust, and operational efficiency, often by combining ideas from different disciplines: business, medicine, and community engagement.
I believe this kind of creativity translates directly into effective public diplomacy. Diplomacy is not only about formal agreements; it is about crafting narratives and initiatives that resonate with people across cultures. My creativity would allow me to design public diplomacy strategies that connect health, humanitarian values, and cultural exchange — for example, using healthcare cooperation as a bridge-building tool between nations, or creating youth-focused initiatives that combine professional expertise with cultural dialogue.
Creative public diplomacy, in my view, means finding unconventional entry points to build trust — turning shared human concerns like health, education, and opportunity into platforms for international understanding. I see my professional background as an asset in shaping practical, human-centered diplomatic initiatives.</v>
      </c>
      <c r="AS163" s="61" t="str">
        <f>IFERROR(__xludf.DUMMYFUNCTION("""COMPUTED_VALUE"""),"Yes")</f>
        <v>Yes</v>
      </c>
      <c r="AT163" s="61" t="str">
        <f>IFERROR(__xludf.DUMMYFUNCTION("""COMPUTED_VALUE"""),"Yes")</f>
        <v>Yes</v>
      </c>
      <c r="AU163" s="61" t="str">
        <f>IFERROR(__xludf.DUMMYFUNCTION("""COMPUTED_VALUE"""),"International Public Service Relations")</f>
        <v>International Public Service Relations</v>
      </c>
      <c r="AV163" s="61" t="str">
        <f>IFERROR(__xludf.DUMMYFUNCTION("""COMPUTED_VALUE"""),"My friend")</f>
        <v>My friend</v>
      </c>
      <c r="AW163" s="61" t="str">
        <f>IFERROR(__xludf.DUMMYFUNCTION("""COMPUTED_VALUE"""),"Public Relations")</f>
        <v>Public Relations</v>
      </c>
      <c r="AX163" s="66" t="str">
        <f>IFERROR(__xludf.DUMMYFUNCTION("""COMPUTED_VALUE"""),"Yes")</f>
        <v>Yes</v>
      </c>
      <c r="AY163" s="66">
        <f>IFERROR(__xludf.DUMMYFUNCTION("""COMPUTED_VALUE"""),15.99)</f>
        <v>15.99</v>
      </c>
      <c r="AZ163" s="61"/>
      <c r="BA163" s="61"/>
      <c r="BB163" s="61"/>
      <c r="BC163" s="61"/>
      <c r="BD163" s="61"/>
      <c r="BE163" s="61"/>
      <c r="BF163" s="61"/>
      <c r="BG163" s="61"/>
      <c r="BH163" s="61"/>
      <c r="BI163" s="61"/>
      <c r="BJ163" s="61"/>
      <c r="BK163" s="61"/>
      <c r="BL163" s="61"/>
      <c r="BM163" s="61"/>
      <c r="BN163" s="61"/>
      <c r="BO163" s="61"/>
      <c r="BP163" s="61"/>
      <c r="BQ163" s="61"/>
      <c r="BR163" s="61"/>
    </row>
    <row r="164" ht="15.75" customHeight="1">
      <c r="A164" s="61" t="str">
        <f>IFERROR(__xludf.DUMMYFUNCTION("""COMPUTED_VALUE"""),"")</f>
        <v/>
      </c>
      <c r="B164" s="62">
        <f>IFERROR(__xludf.DUMMYFUNCTION("""COMPUTED_VALUE"""),193.0)</f>
        <v>193</v>
      </c>
      <c r="C164" s="61" t="str">
        <f>IFERROR(__xludf.DUMMYFUNCTION("""COMPUTED_VALUE"""),"Self")</f>
        <v>Self</v>
      </c>
      <c r="D164" s="63" t="str">
        <f>IFERROR(__xludf.DUMMYFUNCTION("""COMPUTED_VALUE"""),"Submitted")</f>
        <v>Submitted</v>
      </c>
      <c r="E164" s="63">
        <f>IFERROR(__xludf.DUMMYFUNCTION("""COMPUTED_VALUE"""),46219.81041666667)</f>
        <v>46219.81042</v>
      </c>
      <c r="F164" s="61" t="str">
        <f>IFERROR(__xludf.DUMMYFUNCTION("""COMPUTED_VALUE"""),"ANTONIA NARENGI")</f>
        <v>ANTONIA NARENGI</v>
      </c>
      <c r="G164" s="61" t="str">
        <f>IFERROR(__xludf.DUMMYFUNCTION("""COMPUTED_VALUE"""),"ANTONIA NARENGI")</f>
        <v>ANTONIA NARENGI</v>
      </c>
      <c r="H164" s="61" t="str">
        <f>IFERROR(__xludf.DUMMYFUNCTION("""COMPUTED_VALUE"""),"kishajustice1@gmail.com")</f>
        <v>kishajustice1@gmail.com</v>
      </c>
      <c r="I164" s="61" t="str">
        <f>IFERROR(__xludf.DUMMYFUNCTION("""COMPUTED_VALUE"""),"antokisha@gmail.com")</f>
        <v>antokisha@gmail.com</v>
      </c>
      <c r="J164" s="61" t="str">
        <f>IFERROR(__xludf.DUMMYFUNCTION("""COMPUTED_VALUE"""),"110, ISIOLO, Kenya")</f>
        <v>110, ISIOLO, Kenya</v>
      </c>
      <c r="K164" s="61" t="str">
        <f>IFERROR(__xludf.DUMMYFUNCTION("""COMPUTED_VALUE"""),"Kenyan")</f>
        <v>Kenyan</v>
      </c>
      <c r="L164" s="64" t="str">
        <f>IFERROR(__xludf.DUMMYFUNCTION("""COMPUTED_VALUE"""),"+254716740984")</f>
        <v>+254716740984</v>
      </c>
      <c r="M164" s="64">
        <f>IFERROR(__xludf.DUMMYFUNCTION("""COMPUTED_VALUE"""),34385.0)</f>
        <v>34385</v>
      </c>
      <c r="N164" s="61" t="str">
        <f>IFERROR(__xludf.DUMMYFUNCTION("""COMPUTED_VALUE"""),"31800601")</f>
        <v>31800601</v>
      </c>
      <c r="O164" s="61" t="str">
        <f>IFERROR(__xludf.DUMMYFUNCTION("""COMPUTED_VALUE"""),"+254727875244")</f>
        <v>+254727875244</v>
      </c>
      <c r="P164" s="65" t="str">
        <f>IFERROR(__xludf.DUMMYFUNCTION("""COMPUTED_VALUE"""),"https://www.linkedin.com/in/antonia-n-b4399a106?utm_source=share_via&amp;utm_content=profile&amp;utm_medium=member_android")</f>
        <v>https://www.linkedin.com/in/antonia-n-b4399a106?utm_source=share_via&amp;utm_content=profile&amp;utm_medium=member_android</v>
      </c>
      <c r="Q164" s="65" t="str">
        <f>IFERROR(__xludf.DUMMYFUNCTION("""COMPUTED_VALUE"""),"https://www.instagram.com/justicekisha1?igsh=MTdoY2RrdDkwc3FxNA==")</f>
        <v>https://www.instagram.com/justicekisha1?igsh=MTdoY2RrdDkwc3FxNA==</v>
      </c>
      <c r="R164" s="65" t="str">
        <f>IFERROR(__xludf.DUMMYFUNCTION("""COMPUTED_VALUE"""),"https://www.facebook.com/share/1ZcsosnUxe/")</f>
        <v>https://www.facebook.com/share/1ZcsosnUxe/</v>
      </c>
      <c r="S164" s="61" t="str">
        <f>IFERROR(__xludf.DUMMYFUNCTION("""COMPUTED_VALUE"""),"ANTONIA INTERNATIONAL PASSPORT DETAILS.pdf")</f>
        <v>ANTONIA INTERNATIONAL PASSPORT DETAILS.pdf</v>
      </c>
      <c r="T164" s="61" t="str">
        <f>IFERROR(__xludf.DUMMYFUNCTION("""COMPUTED_VALUE"""),"EMERGING LEADERS-53.jpg")</f>
        <v>EMERGING LEADERS-53.jpg</v>
      </c>
      <c r="U164" s="61" t="str">
        <f>IFERROR(__xludf.DUMMYFUNCTION("""COMPUTED_VALUE"""),"Masters")</f>
        <v>Masters</v>
      </c>
      <c r="V164" s="61" t="str">
        <f>IFERROR(__xludf.DUMMYFUNCTION("""COMPUTED_VALUE"""),"Education Arts")</f>
        <v>Education Arts</v>
      </c>
      <c r="W164" s="61" t="str">
        <f>IFERROR(__xludf.DUMMYFUNCTION("""COMPUTED_VALUE"""),"Educational Administration Leadership and Management")</f>
        <v>Educational Administration Leadership and Management</v>
      </c>
      <c r="X164" s="61" t="str">
        <f>IFERROR(__xludf.DUMMYFUNCTION("""COMPUTED_VALUE"""),"Mount Kenya University")</f>
        <v>Mount Kenya University</v>
      </c>
      <c r="Y164" s="61" t="str">
        <f>IFERROR(__xludf.DUMMYFUNCTION("""COMPUTED_VALUE"""),"Yes")</f>
        <v>Yes</v>
      </c>
      <c r="Z164" s="61" t="str">
        <f>IFERROR(__xludf.DUMMYFUNCTION("""COMPUTED_VALUE"""),"Kenya")</f>
        <v>Kenya</v>
      </c>
      <c r="AA164" s="61" t="str">
        <f>IFERROR(__xludf.DUMMYFUNCTION("""COMPUTED_VALUE"""),"No")</f>
        <v>No</v>
      </c>
      <c r="AB164" s="61"/>
      <c r="AC164" s="61" t="str">
        <f>IFERROR(__xludf.DUMMYFUNCTION("""COMPUTED_VALUE"""),"yes")</f>
        <v>yes</v>
      </c>
      <c r="AD164" s="61" t="str">
        <f>IFERROR(__xludf.DUMMYFUNCTION("""COMPUTED_VALUE"""),"Yes. I have volunteered in community-based adult literacy and education initiatives, supporting marginalized adults and out-of-school youth by providing literacy, numeracy, digital literacy, and life skills training. I have also participated in community "&amp;"outreach programs that promote education, empowerment, and lifelong learning.")</f>
        <v>Yes. I have volunteered in community-based adult literacy and education initiatives, supporting marginalized adults and out-of-school youth by providing literacy, numeracy, digital literacy, and life skills training. I have also participated in community outreach programs that promote education, empowerment, and lifelong learning.</v>
      </c>
      <c r="AE164" s="65" t="str">
        <f>IFERROR(__xludf.DUMMYFUNCTION("""COMPUTED_VALUE"""),"https://N/A")</f>
        <v>https://N/A</v>
      </c>
      <c r="AF164" s="61" t="str">
        <f>IFERROR(__xludf.DUMMYFUNCTION("""COMPUTED_VALUE"""),"Adult Literacy Volunteer and Community Education Facilitator")</f>
        <v>Adult Literacy Volunteer and Community Education Facilitator</v>
      </c>
      <c r="AG164" s="61" t="str">
        <f>IFERROR(__xludf.DUMMYFUNCTION("""COMPUTED_VALUE"""),"5")</f>
        <v>5</v>
      </c>
      <c r="AH164" s="61" t="str">
        <f>IFERROR(__xludf.DUMMYFUNCTION("""COMPUTED_VALUE"""),"Yes")</f>
        <v>Yes</v>
      </c>
      <c r="AI164" s="61" t="str">
        <f>IFERROR(__xludf.DUMMYFUNCTION("""COMPUTED_VALUE"""),"I am a full-time English teacher and education professional. My responsibilities include:  Planning and delivering learner-centered lessons. Teaching English language and communication skills. Assessing learners' progress and providing constructive feedba"&amp;"ck. Supporting adult literacy and lifelong learning initiatives. Developing educational materials and integrating digital learning tools. Mentoring learners and promoting inclusive education. Organizing educational outreach activities within the community"&amp;".")</f>
        <v>I am a full-time English teacher and education professional. My responsibilities include:  Planning and delivering learner-centered lessons. Teaching English language and communication skills. Assessing learners' progress and providing constructive feedback. Supporting adult literacy and lifelong learning initiatives. Developing educational materials and integrating digital learning tools. Mentoring learners and promoting inclusive education. Organizing educational outreach activities within the community.</v>
      </c>
      <c r="AJ164" s="61" t="str">
        <f>IFERROR(__xludf.DUMMYFUNCTION("""COMPUTED_VALUE"""),"yes")</f>
        <v>yes</v>
      </c>
      <c r="AK164" s="61" t="str">
        <f>IFERROR(__xludf.DUMMYFUNCTION("""COMPUTED_VALUE"""),"African Pearl Solace (AFPESO) is a community-based organization that I founded to empower women, girls, and young people in rural Kenya through education, sustainable agriculture, environmental conservation, leadership development, and economic empowermen"&amp;"t. The organization works to improve access to quality education, promote climate-smart agriculture, strengthen food security, build entrepreneurial skills, and create opportunities for youth and women to become active contributors to sustainable communit"&amp;"y development.")</f>
        <v>African Pearl Solace (AFPESO) is a community-based organization that I founded to empower women, girls, and young people in rural Kenya through education, sustainable agriculture, environmental conservation, leadership development, and economic empowerment. The organization works to improve access to quality education, promote climate-smart agriculture, strengthen food security, build entrepreneurial skills, and create opportunities for youth and women to become active contributors to sustainable community development.</v>
      </c>
      <c r="AL164" s="61" t="str">
        <f>IFERROR(__xludf.DUMMYFUNCTION("""COMPUTED_VALUE"""),"Education and Teaching | English Language Instruction | Adult Literacy | Public Speaking | Leadership | Community Development | Curriculum Development | Project Coordination | Digital Literacy Training | Communication | Research | Academic Writing | Conte"&amp;"nt Writing | Mentoring | Teamwork | Cross-cultural Communication | YouTube Content Creation | AI-assisted Educational Content Creation")</f>
        <v>Education and Teaching | English Language Instruction | Adult Literacy | Public Speaking | Leadership | Community Development | Curriculum Development | Project Coordination | Digital Literacy Training | Communication | Research | Academic Writing | Content Writing | Mentoring | Teamwork | Cross-cultural Communication | YouTube Content Creation | AI-assisted Educational Content Creation</v>
      </c>
      <c r="AM164" s="61" t="str">
        <f>IFERROR(__xludf.DUMMYFUNCTION("""COMPUTED_VALUE"""),"Antonia_Narengi_CV.pdf")</f>
        <v>Antonia_Narengi_CV.pdf</v>
      </c>
      <c r="AN164" s="61" t="str">
        <f>IFERROR(__xludf.DUMMYFUNCTION("""COMPUTED_VALUE"""),"Yes. I believe meaningful change begins at the community level. As a Senior Adult Education Instructor with Kenya's Ministry of Education, I have empowered adults through literacy, digital literacy, and life skills, enabling them to improve their liveliho"&amp;"ods and participate more actively in society. I also founded African Pearl Solace (AFPESO), a community-based organization dedicated to empowering women, girls, and youth through education, sustainable agriculture, leadership, and environmental conservati"&amp;"on. Through mentorship, community outreach, and advocacy, I have worked to reduce educational inequalities and create opportunities for vulnerable populations to become self-reliant and active contributors to sustainable development.")</f>
        <v>Yes. I believe meaningful change begins at the community level. As a Senior Adult Education Instructor with Kenya's Ministry of Education, I have empowered adults through literacy, digital literacy, and life skills, enabling them to improve their livelihoods and participate more actively in society. I also founded African Pearl Solace (AFPESO), a community-based organization dedicated to empowering women, girls, and youth through education, sustainable agriculture, leadership, and environmental conservation. Through mentorship, community outreach, and advocacy, I have worked to reduce educational inequalities and create opportunities for vulnerable populations to become self-reliant and active contributors to sustainable development.</v>
      </c>
      <c r="AO164" s="61" t="str">
        <f>IFERROR(__xludf.DUMMYFUNCTION("""COMPUTED_VALUE"""),"I believe no single country can solely define global diplomacy, but Switzerland stands out because of its long-standing neutrality, commitment to peace building, humanitarian action, and multilateral cooperation. It hosts numerous international organizati"&amp;"ons, including the United Nations Office in Geneva, making it a global center for dialogue and conflict resolution. Switzerland demonstrates that diplomacy is built on trust, respect, and collaboration rather than power alone. However, every nation contri"&amp;"butes uniquely to global diplomacy, and today's interconnected world requires countries from all regions to work together to address challenges such as climate change, inequality, migration, and sustainable development.")</f>
        <v>I believe no single country can solely define global diplomacy, but Switzerland stands out because of its long-standing neutrality, commitment to peace building, humanitarian action, and multilateral cooperation. It hosts numerous international organizations, including the United Nations Office in Geneva, making it a global center for dialogue and conflict resolution. Switzerland demonstrates that diplomacy is built on trust, respect, and collaboration rather than power alone. However, every nation contributes uniquely to global diplomacy, and today's interconnected world requires countries from all regions to work together to address challenges such as climate change, inequality, migration, and sustainable development.</v>
      </c>
      <c r="AP164" s="61" t="str">
        <f>IFERROR(__xludf.DUMMYFUNCTION("""COMPUTED_VALUE"""),"Young people are essential drivers of diplomacy because they bring innovation, creativity, and fresh perspectives to solving global challenges. As the most connected generation in history, youth have the ability to build bridges across cultures, challenge"&amp;" stereotypes, and promote peaceful dialogue through education, technology, entrepreneurship, and civic engagement.
Public diplomacy extends beyond government-to-government relations; it focuses on building trust, mutual understanding, and meaningful rela"&amp;"tionships between people and nations. I strongly relate to this concept because my work has always centered on connecting communities through education and empowerment. As a Senior Adult Education Instructor, I help marginalized learners gain knowledge an"&amp;"d confidence, while as the founder of African Pearl Solace (AFPESO), I promote women's empowerment, environmental sustainability, and community development through partnerships and grassroots engagement.
I believe education itself is a powerful tool of p"&amp;"ublic diplomacy because it fosters understanding, tolerance, and social inclusion. Participating in the Young Public Diplomacy Summit will enable me to exchange ideas with young leaders from diverse backgrounds, strengthen my leadership skills, and build "&amp;"international partnerships that can amplify the impact of my work. I hope to become a global advocate for inclusive education, youth leadership, gender equality, and sustainable development.")</f>
        <v>Young people are essential drivers of diplomacy because they bring innovation, creativity, and fresh perspectives to solving global challenges. As the most connected generation in history, youth have the ability to build bridges across cultures, challenge stereotypes, and promote peaceful dialogue through education, technology, entrepreneurship, and civic engagement.
Public diplomacy extends beyond government-to-government relations; it focuses on building trust, mutual understanding, and meaningful relationships between people and nations. I strongly relate to this concept because my work has always centered on connecting communities through education and empowerment. As a Senior Adult Education Instructor, I help marginalized learners gain knowledge and confidence, while as the founder of African Pearl Solace (AFPESO), I promote women's empowerment, environmental sustainability, and community development through partnerships and grassroots engagement.
I believe education itself is a powerful tool of public diplomacy because it fosters understanding, tolerance, and social inclusion. Participating in the Young Public Diplomacy Summit will enable me to exchange ideas with young leaders from diverse backgrounds, strengthen my leadership skills, and build international partnerships that can amplify the impact of my work. I hope to become a global advocate for inclusive education, youth leadership, gender equality, and sustainable development.</v>
      </c>
      <c r="AQ164" s="61" t="str">
        <f>IFERROR(__xludf.DUMMYFUNCTION("""COMPUTED_VALUE"""),"Passion is the inner motivation that inspires individuals to remain committed to a purpose despite challenges. It is the driving force behind perseverance, resilience, and continuous learning. For me, passion lies in transforming lives through education a"&amp;"nd community empowerment. It has inspired me to dedicate my career to improving literacy, promoting lifelong learning, and creating opportunities for women and young people who face social and economic barriers.
My passion also motivated me to establish "&amp;"African Pearl Solace (AFPESO), where I work to empower vulnerable communities through education, sustainable agriculture, leadership development, and environmental conservation. Passion gives me the determination to overcome obstacles, embrace innovation,"&amp;" and seek partnerships that create lasting social impact. It reminds me that meaningful change begins with service, compassion, and the willingness to invest in the potential of others.")</f>
        <v>Passion is the inner motivation that inspires individuals to remain committed to a purpose despite challenges. It is the driving force behind perseverance, resilience, and continuous learning. For me, passion lies in transforming lives through education and community empowerment. It has inspired me to dedicate my career to improving literacy, promoting lifelong learning, and creating opportunities for women and young people who face social and economic barriers.
My passion also motivated me to establish African Pearl Solace (AFPESO), where I work to empower vulnerable communities through education, sustainable agriculture, leadership development, and environmental conservation. Passion gives me the determination to overcome obstacles, embrace innovation, and seek partnerships that create lasting social impact. It reminds me that meaningful change begins with service, compassion, and the willingness to invest in the potential of others.</v>
      </c>
      <c r="AR164" s="61" t="str">
        <f>IFERROR(__xludf.DUMMYFUNCTION("""COMPUTED_VALUE"""),"Yes. I consider creativity one of my greatest strengths because it allows me to develop practical solutions to community challenges. Throughout my career, I have designed innovative learning approaches that integrate literacy, digital skills, entrepreneur"&amp;"ship, and life skills to improve the lives of adult learners. I also founded African Pearl Solace (AFPESO) to create sustainable programmes that combine education, environmental conservation, women's empowerment, and climate-smart agriculture.
In public "&amp;"diplomacy, creativity is essential for engaging diverse audiences and fostering meaningful intercultural dialogue. I would use storytelling, digital media, educational campaigns, cultural exchanges, and community-led initiatives to promote mutual understa"&amp;"nding between people from different backgrounds. Digital platforms can amplify positive narratives, challenge stereotypes, and encourage collaboration across borders.
I also believe that creative partnerships among governments, educational institutions, "&amp;"civil society organizations, and youth leaders can generate innovative solutions to global challenges. By combining education, technology, and cultural exchange, public diplomacy becomes more inclusive, participatory, and impactful. My goal is to use crea"&amp;"tivity not only to communicate ideas but also to inspire action, strengthen international cooperation, and empower communities to become active contributors to peace and sustainable development.")</f>
        <v>Yes. I consider creativity one of my greatest strengths because it allows me to develop practical solutions to community challenges. Throughout my career, I have designed innovative learning approaches that integrate literacy, digital skills, entrepreneurship, and life skills to improve the lives of adult learners. I also founded African Pearl Solace (AFPESO) to create sustainable programmes that combine education, environmental conservation, women's empowerment, and climate-smart agriculture.
In public diplomacy, creativity is essential for engaging diverse audiences and fostering meaningful intercultural dialogue. I would use storytelling, digital media, educational campaigns, cultural exchanges, and community-led initiatives to promote mutual understanding between people from different backgrounds. Digital platforms can amplify positive narratives, challenge stereotypes, and encourage collaboration across borders.
I also believe that creative partnerships among governments, educational institutions, civil society organizations, and youth leaders can generate innovative solutions to global challenges. By combining education, technology, and cultural exchange, public diplomacy becomes more inclusive, participatory, and impactful. My goal is to use creativity not only to communicate ideas but also to inspire action, strengthen international cooperation, and empower communities to become active contributors to peace and sustainable development.</v>
      </c>
      <c r="AS164" s="61" t="str">
        <f>IFERROR(__xludf.DUMMYFUNCTION("""COMPUTED_VALUE"""),"Yes")</f>
        <v>Yes</v>
      </c>
      <c r="AT164" s="61" t="str">
        <f>IFERROR(__xludf.DUMMYFUNCTION("""COMPUTED_VALUE"""),"Yes")</f>
        <v>Yes</v>
      </c>
      <c r="AU164" s="61" t="str">
        <f>IFERROR(__xludf.DUMMYFUNCTION("""COMPUTED_VALUE"""),"Global Politics, Diplomacy &amp; Identities")</f>
        <v>Global Politics, Diplomacy &amp; Identities</v>
      </c>
      <c r="AV164" s="61" t="str">
        <f>IFERROR(__xludf.DUMMYFUNCTION("""COMPUTED_VALUE"""),"Google search")</f>
        <v>Google search</v>
      </c>
      <c r="AW164" s="61" t="str">
        <f>IFERROR(__xludf.DUMMYFUNCTION("""COMPUTED_VALUE"""),"Global Politics, Diplomacy and Identities")</f>
        <v>Global Politics, Diplomacy and Identities</v>
      </c>
      <c r="AX164" s="66" t="str">
        <f>IFERROR(__xludf.DUMMYFUNCTION("""COMPUTED_VALUE"""),"Yes")</f>
        <v>Yes</v>
      </c>
      <c r="AY164" s="66">
        <f>IFERROR(__xludf.DUMMYFUNCTION("""COMPUTED_VALUE"""),15.99)</f>
        <v>15.99</v>
      </c>
      <c r="AZ164" s="61"/>
      <c r="BA164" s="61"/>
      <c r="BB164" s="61"/>
      <c r="BC164" s="61"/>
      <c r="BD164" s="61"/>
      <c r="BE164" s="61"/>
      <c r="BF164" s="61"/>
      <c r="BG164" s="61"/>
      <c r="BH164" s="61"/>
      <c r="BI164" s="61"/>
      <c r="BJ164" s="61"/>
      <c r="BK164" s="61"/>
      <c r="BL164" s="61"/>
      <c r="BM164" s="61"/>
      <c r="BN164" s="61"/>
      <c r="BO164" s="61"/>
      <c r="BP164" s="61"/>
      <c r="BQ164" s="61"/>
      <c r="BR164" s="61"/>
    </row>
    <row r="165" ht="15.75" customHeight="1">
      <c r="A165" s="61" t="str">
        <f>IFERROR(__xludf.DUMMYFUNCTION("""COMPUTED_VALUE"""),"Status")</f>
        <v>Status</v>
      </c>
      <c r="B165" s="62" t="str">
        <f>IFERROR(__xludf.DUMMYFUNCTION("""COMPUTED_VALUE"""),"ID")</f>
        <v>ID</v>
      </c>
      <c r="C165" s="61" t="str">
        <f>IFERROR(__xludf.DUMMYFUNCTION("""COMPUTED_VALUE"""),"Evaluation Status")</f>
        <v>Evaluation Status</v>
      </c>
      <c r="D165" s="63" t="str">
        <f>IFERROR(__xludf.DUMMYFUNCTION("""COMPUTED_VALUE"""),"Status")</f>
        <v>Status</v>
      </c>
      <c r="E165" s="61" t="str">
        <f>IFERROR(__xludf.DUMMYFUNCTION("""COMPUTED_VALUE"""),"Date Submitted")</f>
        <v>Date Submitted</v>
      </c>
      <c r="F165" s="61" t="str">
        <f>IFERROR(__xludf.DUMMYFUNCTION("""COMPUTED_VALUE"""),"Name")</f>
        <v>Name</v>
      </c>
      <c r="G165" s="61" t="str">
        <f>IFERROR(__xludf.DUMMYFUNCTION("""COMPUTED_VALUE"""),"Full Name")</f>
        <v>Full Name</v>
      </c>
      <c r="H165" s="61" t="str">
        <f>IFERROR(__xludf.DUMMYFUNCTION("""COMPUTED_VALUE"""),"Email")</f>
        <v>Email</v>
      </c>
      <c r="I165" s="61" t="str">
        <f>IFERROR(__xludf.DUMMYFUNCTION("""COMPUTED_VALUE"""),"Alternate Email")</f>
        <v>Alternate Email</v>
      </c>
      <c r="J165" s="61" t="str">
        <f>IFERROR(__xludf.DUMMYFUNCTION("""COMPUTED_VALUE"""),"Address")</f>
        <v>Address</v>
      </c>
      <c r="K165" s="61" t="str">
        <f>IFERROR(__xludf.DUMMYFUNCTION("""COMPUTED_VALUE"""),"Nationality")</f>
        <v>Nationality</v>
      </c>
      <c r="L165" s="64" t="str">
        <f>IFERROR(__xludf.DUMMYFUNCTION("""COMPUTED_VALUE"""),"Phone")</f>
        <v>Phone</v>
      </c>
      <c r="M165" s="61" t="str">
        <f>IFERROR(__xludf.DUMMYFUNCTION("""COMPUTED_VALUE"""),"Date of Birth")</f>
        <v>Date of Birth</v>
      </c>
      <c r="N165" s="61" t="str">
        <f>IFERROR(__xludf.DUMMYFUNCTION("""COMPUTED_VALUE"""),"Passport ID")</f>
        <v>Passport ID</v>
      </c>
      <c r="O165" s="61" t="str">
        <f>IFERROR(__xludf.DUMMYFUNCTION("""COMPUTED_VALUE"""),"Emergency Contact")</f>
        <v>Emergency Contact</v>
      </c>
      <c r="P165" s="61" t="str">
        <f>IFERROR(__xludf.DUMMYFUNCTION("""COMPUTED_VALUE"""),"Linkedin")</f>
        <v>Linkedin</v>
      </c>
      <c r="Q165" s="61" t="str">
        <f>IFERROR(__xludf.DUMMYFUNCTION("""COMPUTED_VALUE"""),"Instagram")</f>
        <v>Instagram</v>
      </c>
      <c r="R165" s="61" t="str">
        <f>IFERROR(__xludf.DUMMYFUNCTION("""COMPUTED_VALUE"""),"Facebook")</f>
        <v>Facebook</v>
      </c>
      <c r="S165" s="61" t="str">
        <f>IFERROR(__xludf.DUMMYFUNCTION("""COMPUTED_VALUE"""),"Attach Passport")</f>
        <v>Attach Passport</v>
      </c>
      <c r="T165" s="61" t="str">
        <f>IFERROR(__xludf.DUMMYFUNCTION("""COMPUTED_VALUE"""),"Profile Picture")</f>
        <v>Profile Picture</v>
      </c>
      <c r="U165" s="61" t="str">
        <f>IFERROR(__xludf.DUMMYFUNCTION("""COMPUTED_VALUE"""),"Education")</f>
        <v>Education</v>
      </c>
      <c r="V165" s="61" t="str">
        <f>IFERROR(__xludf.DUMMYFUNCTION("""COMPUTED_VALUE"""),"Degree")</f>
        <v>Degree</v>
      </c>
      <c r="W165" s="61" t="str">
        <f>IFERROR(__xludf.DUMMYFUNCTION("""COMPUTED_VALUE"""),"Specialization")</f>
        <v>Specialization</v>
      </c>
      <c r="X165" s="61" t="str">
        <f>IFERROR(__xludf.DUMMYFUNCTION("""COMPUTED_VALUE"""),"University name")</f>
        <v>University name</v>
      </c>
      <c r="Y165" s="61" t="str">
        <f>IFERROR(__xludf.DUMMYFUNCTION("""COMPUTED_VALUE"""),"Are you enrolled to this program today?")</f>
        <v>Are you enrolled to this program today?</v>
      </c>
      <c r="Z165" s="61" t="str">
        <f>IFERROR(__xludf.DUMMYFUNCTION("""COMPUTED_VALUE"""),"Country of Education")</f>
        <v>Country of Education</v>
      </c>
      <c r="AA165" s="61" t="str">
        <f>IFERROR(__xludf.DUMMYFUNCTION("""COMPUTED_VALUE"""),"Have you attended any exchange program abroad?")</f>
        <v>Have you attended any exchange program abroad?</v>
      </c>
      <c r="AB165" s="61" t="str">
        <f>IFERROR(__xludf.DUMMYFUNCTION("""COMPUTED_VALUE"""),"If yes, which university?")</f>
        <v>If yes, which university?</v>
      </c>
      <c r="AC165" s="61" t="str">
        <f>IFERROR(__xludf.DUMMYFUNCTION("""COMPUTED_VALUE"""),"Are you familiar with academic research? (Optional) ")</f>
        <v>Are you familiar with academic research? (Optional) </v>
      </c>
      <c r="AD165" s="61" t="str">
        <f>IFERROR(__xludf.DUMMYFUNCTION("""COMPUTED_VALUE"""),"Have you volunteered for any social organization? If yes, mention its name.")</f>
        <v>Have you volunteered for any social organization? If yes, mention its name.</v>
      </c>
      <c r="AE165" s="61" t="str">
        <f>IFERROR(__xludf.DUMMYFUNCTION("""COMPUTED_VALUE"""),"Website of organization")</f>
        <v>Website of organization</v>
      </c>
      <c r="AF165" s="61" t="str">
        <f>IFERROR(__xludf.DUMMYFUNCTION("""COMPUTED_VALUE"""),"Your role in organization?")</f>
        <v>Your role in organization?</v>
      </c>
      <c r="AG165" s="61" t="str">
        <f>IFERROR(__xludf.DUMMYFUNCTION("""COMPUTED_VALUE"""),"Years of experience")</f>
        <v>Years of experience</v>
      </c>
      <c r="AH165" s="61" t="str">
        <f>IFERROR(__xludf.DUMMYFUNCTION("""COMPUTED_VALUE"""),"Are you full time employed?")</f>
        <v>Are you full time employed?</v>
      </c>
      <c r="AI165" s="61" t="str">
        <f>IFERROR(__xludf.DUMMYFUNCTION("""COMPUTED_VALUE"""),"If yes, what are your roles?")</f>
        <v>If yes, what are your roles?</v>
      </c>
      <c r="AJ165" s="61" t="str">
        <f>IFERROR(__xludf.DUMMYFUNCTION("""COMPUTED_VALUE"""),"Have you founded any youth organization?")</f>
        <v>Have you founded any youth organization?</v>
      </c>
      <c r="AK165" s="61" t="str">
        <f>IFERROR(__xludf.DUMMYFUNCTION("""COMPUTED_VALUE"""),"If yes, what's the aim of organization?")</f>
        <v>If yes, what's the aim of organization?</v>
      </c>
      <c r="AL165" s="61" t="str">
        <f>IFERROR(__xludf.DUMMYFUNCTION("""COMPUTED_VALUE"""),"What's your skillset?")</f>
        <v>What's your skillset?</v>
      </c>
      <c r="AM165" s="61" t="str">
        <f>IFERROR(__xludf.DUMMYFUNCTION("""COMPUTED_VALUE"""),"Attach your CV")</f>
        <v>Attach your CV</v>
      </c>
      <c r="AN165" s="61" t="str">
        <f>IFERROR(__xludf.DUMMYFUNCTION("""COMPUTED_VALUE"""),"Have you ever thought of changing the world? If yes, what actions did you take in your personal capacity to make an impact? (100 words)")</f>
        <v>Have you ever thought of changing the world? If yes, what actions did you take in your personal capacity to make an impact? (100 words)</v>
      </c>
      <c r="AO165" s="61" t="str">
        <f>IFERROR(__xludf.DUMMYFUNCTION("""COMPUTED_VALUE"""),"What do you think is diplomatically significant country of the world? (100 words)")</f>
        <v>What do you think is diplomatically significant country of the world? (100 words)</v>
      </c>
      <c r="AP165" s="61" t="str">
        <f>IFERROR(__xludf.DUMMYFUNCTION("""COMPUTED_VALUE"""),"What is youth's role in diplomacy? How do you relate to the idea of Public Diplomacy (200 words)")</f>
        <v>What is youth's role in diplomacy? How do you relate to the idea of Public Diplomacy (200 words)</v>
      </c>
      <c r="AQ165" s="61" t="str">
        <f>IFERROR(__xludf.DUMMYFUNCTION("""COMPUTED_VALUE"""),"What is passion? how it helps you achieve your goals? (150 words)")</f>
        <v>What is passion? how it helps you achieve your goals? (150 words)</v>
      </c>
      <c r="AR165" s="61" t="str">
        <f>IFERROR(__xludf.DUMMYFUNCTION("""COMPUTED_VALUE"""),"Are you a creative person? how can you turn into an effective public diplomacy strategy, (200 words)")</f>
        <v>Are you a creative person? how can you turn into an effective public diplomacy strategy, (200 words)</v>
      </c>
      <c r="AS165" s="61" t="str">
        <f>IFERROR(__xludf.DUMMYFUNCTION("""COMPUTED_VALUE"""),"Are you interested in our future internship programs?")</f>
        <v>Are you interested in our future internship programs?</v>
      </c>
      <c r="AT165" s="61" t="str">
        <f>IFERROR(__xludf.DUMMYFUNCTION("""COMPUTED_VALUE"""),"Would you like to be a part of our Cultural Diplomacy Incubation Centers?")</f>
        <v>Would you like to be a part of our Cultural Diplomacy Incubation Centers?</v>
      </c>
      <c r="AU165" s="61" t="str">
        <f>IFERROR(__xludf.DUMMYFUNCTION("""COMPUTED_VALUE"""),"Our Institute for Strategy and Cultural Diplomacy offers scholarship courses online, would you like to enroll in our future programs?")</f>
        <v>Our Institute for Strategy and Cultural Diplomacy offers scholarship courses online, would you like to enroll in our future programs?</v>
      </c>
      <c r="AV165" s="61" t="str">
        <f>IFERROR(__xludf.DUMMYFUNCTION("""COMPUTED_VALUE"""),"Where did you hear about us?")</f>
        <v>Where did you hear about us?</v>
      </c>
      <c r="AW165" s="61" t="str">
        <f>IFERROR(__xludf.DUMMYFUNCTION("""COMPUTED_VALUE"""),"Which program module interests you the most?")</f>
        <v>Which program module interests you the most?</v>
      </c>
      <c r="AX165" s="66" t="str">
        <f>IFERROR(__xludf.DUMMYFUNCTION("""COMPUTED_VALUE"""),"Agree")</f>
        <v>Agree</v>
      </c>
      <c r="AY165" s="61" t="str">
        <f>IFERROR(__xludf.DUMMYFUNCTION("""COMPUTED_VALUE"""),"Application Fee (Administrative and Assessment- Non Refundable)")</f>
        <v>Application Fee (Administrative and Assessment- Non Refundable)</v>
      </c>
      <c r="AZ165" s="61"/>
      <c r="BA165" s="61"/>
      <c r="BB165" s="61"/>
      <c r="BC165" s="61"/>
      <c r="BD165" s="61"/>
      <c r="BE165" s="61"/>
      <c r="BF165" s="61"/>
      <c r="BG165" s="61"/>
      <c r="BH165" s="61"/>
      <c r="BI165" s="61"/>
      <c r="BJ165" s="61"/>
      <c r="BK165" s="61"/>
      <c r="BL165" s="61"/>
      <c r="BM165" s="61"/>
      <c r="BN165" s="61"/>
      <c r="BO165" s="61"/>
      <c r="BP165" s="61"/>
      <c r="BQ165" s="61"/>
      <c r="BR165" s="61"/>
    </row>
    <row r="166" ht="15.75" customHeight="1">
      <c r="A166" s="61"/>
      <c r="B166" s="62"/>
      <c r="C166" s="61"/>
      <c r="D166" s="63"/>
      <c r="E166" s="61"/>
      <c r="F166" s="61"/>
      <c r="G166" s="61"/>
      <c r="H166" s="61"/>
      <c r="I166" s="61"/>
      <c r="J166" s="61"/>
      <c r="K166" s="61"/>
      <c r="L166" s="64"/>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1"/>
      <c r="AS166" s="61"/>
      <c r="AT166" s="61"/>
      <c r="AU166" s="61"/>
      <c r="AV166" s="61"/>
      <c r="AW166" s="61"/>
      <c r="AX166" s="66"/>
      <c r="AY166" s="61"/>
      <c r="AZ166" s="61"/>
      <c r="BA166" s="61"/>
      <c r="BB166" s="61"/>
      <c r="BC166" s="61"/>
      <c r="BD166" s="61"/>
      <c r="BE166" s="61"/>
      <c r="BF166" s="61"/>
      <c r="BG166" s="61"/>
      <c r="BH166" s="61"/>
      <c r="BI166" s="61"/>
      <c r="BJ166" s="61"/>
      <c r="BK166" s="61"/>
      <c r="BL166" s="61"/>
      <c r="BM166" s="61"/>
      <c r="BN166" s="61"/>
      <c r="BO166" s="61"/>
      <c r="BP166" s="61"/>
      <c r="BQ166" s="61"/>
      <c r="BR166" s="61"/>
    </row>
    <row r="167" ht="15.75" customHeight="1">
      <c r="A167" s="61"/>
      <c r="B167" s="62"/>
      <c r="C167" s="61"/>
      <c r="D167" s="63"/>
      <c r="E167" s="61"/>
      <c r="F167" s="61"/>
      <c r="G167" s="61"/>
      <c r="H167" s="61"/>
      <c r="I167" s="61"/>
      <c r="J167" s="61"/>
      <c r="K167" s="61"/>
      <c r="L167" s="64"/>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c r="AU167" s="61"/>
      <c r="AV167" s="61"/>
      <c r="AW167" s="61"/>
      <c r="AX167" s="66"/>
      <c r="AY167" s="61"/>
      <c r="AZ167" s="61"/>
      <c r="BA167" s="61"/>
      <c r="BB167" s="61"/>
      <c r="BC167" s="61"/>
      <c r="BD167" s="61"/>
      <c r="BE167" s="61"/>
      <c r="BF167" s="61"/>
      <c r="BG167" s="61"/>
      <c r="BH167" s="61"/>
      <c r="BI167" s="61"/>
      <c r="BJ167" s="61"/>
      <c r="BK167" s="61"/>
      <c r="BL167" s="61"/>
      <c r="BM167" s="61"/>
      <c r="BN167" s="61"/>
      <c r="BO167" s="61"/>
      <c r="BP167" s="61"/>
      <c r="BQ167" s="61"/>
      <c r="BR167" s="61"/>
    </row>
    <row r="168" ht="15.75" customHeight="1">
      <c r="A168" s="61"/>
      <c r="B168" s="62"/>
      <c r="C168" s="61"/>
      <c r="D168" s="63"/>
      <c r="E168" s="61"/>
      <c r="F168" s="61"/>
      <c r="G168" s="61"/>
      <c r="H168" s="61"/>
      <c r="I168" s="61"/>
      <c r="J168" s="61"/>
      <c r="K168" s="61"/>
      <c r="L168" s="64"/>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c r="AU168" s="61"/>
      <c r="AV168" s="61"/>
      <c r="AW168" s="61"/>
      <c r="AX168" s="66"/>
      <c r="AY168" s="61"/>
      <c r="AZ168" s="61"/>
      <c r="BA168" s="61"/>
      <c r="BB168" s="61"/>
      <c r="BC168" s="61"/>
      <c r="BD168" s="61"/>
      <c r="BE168" s="61"/>
      <c r="BF168" s="61"/>
      <c r="BG168" s="61"/>
      <c r="BH168" s="61"/>
      <c r="BI168" s="61"/>
      <c r="BJ168" s="61"/>
      <c r="BK168" s="61"/>
      <c r="BL168" s="61"/>
      <c r="BM168" s="61"/>
      <c r="BN168" s="61"/>
      <c r="BO168" s="61"/>
      <c r="BP168" s="61"/>
      <c r="BQ168" s="61"/>
      <c r="BR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row>
  </sheetData>
  <hyperlinks>
    <hyperlink r:id="rId1" ref="Q1"/>
    <hyperlink r:id="rId2" ref="AE2"/>
    <hyperlink r:id="rId3" ref="P4"/>
    <hyperlink r:id="rId4" ref="Q4"/>
    <hyperlink r:id="rId5" ref="R4"/>
    <hyperlink r:id="rId6" ref="AE4"/>
    <hyperlink r:id="rId7" ref="AE5"/>
    <hyperlink r:id="rId8" ref="Q6"/>
    <hyperlink r:id="rId9" ref="P7"/>
    <hyperlink r:id="rId10" ref="Q7"/>
    <hyperlink r:id="rId11" ref="R7"/>
    <hyperlink r:id="rId12" ref="P8"/>
    <hyperlink r:id="rId13" ref="Q8"/>
    <hyperlink r:id="rId14" ref="R8"/>
    <hyperlink r:id="rId15" ref="AE8"/>
    <hyperlink r:id="rId16" ref="AE9"/>
    <hyperlink r:id="rId17" ref="P11"/>
    <hyperlink r:id="rId18" ref="Q11"/>
    <hyperlink r:id="rId19" ref="R11"/>
    <hyperlink r:id="rId20" ref="P13"/>
    <hyperlink r:id="rId21" ref="P14"/>
    <hyperlink r:id="rId22" ref="P15"/>
    <hyperlink r:id="rId23" ref="P16"/>
    <hyperlink r:id="rId24" ref="AE16"/>
    <hyperlink r:id="rId25" ref="AE18"/>
    <hyperlink r:id="rId26" ref="P19"/>
    <hyperlink r:id="rId27" ref="Q19"/>
    <hyperlink r:id="rId28" ref="R19"/>
    <hyperlink r:id="rId29" ref="P21"/>
    <hyperlink r:id="rId30" ref="AE21"/>
    <hyperlink r:id="rId31" ref="AE22"/>
    <hyperlink r:id="rId32" ref="P23"/>
    <hyperlink r:id="rId33" ref="Q23"/>
    <hyperlink r:id="rId34" ref="AE23"/>
    <hyperlink r:id="rId35" ref="AE25"/>
    <hyperlink r:id="rId36" ref="AE27"/>
    <hyperlink r:id="rId37" ref="P28"/>
    <hyperlink r:id="rId38" ref="R28"/>
    <hyperlink r:id="rId39" ref="P29"/>
    <hyperlink r:id="rId40" ref="AE29"/>
    <hyperlink r:id="rId41" ref="P30"/>
    <hyperlink r:id="rId42" ref="R30"/>
    <hyperlink r:id="rId43" ref="AE30"/>
    <hyperlink r:id="rId44" ref="P31"/>
    <hyperlink r:id="rId45" ref="Q31"/>
    <hyperlink r:id="rId46" ref="R31"/>
    <hyperlink r:id="rId47" ref="P32"/>
    <hyperlink r:id="rId48" ref="AE32"/>
    <hyperlink r:id="rId49" ref="Q33"/>
    <hyperlink r:id="rId50" ref="R33"/>
    <hyperlink r:id="rId51" ref="AE33"/>
    <hyperlink r:id="rId52" ref="R34"/>
    <hyperlink r:id="rId53" ref="P35"/>
    <hyperlink r:id="rId54" ref="P36"/>
    <hyperlink r:id="rId55" ref="Q36"/>
    <hyperlink r:id="rId56" ref="AE36"/>
    <hyperlink r:id="rId57" ref="P37"/>
    <hyperlink r:id="rId58" ref="R37"/>
    <hyperlink r:id="rId59" ref="AE37"/>
    <hyperlink r:id="rId60" ref="P38"/>
    <hyperlink r:id="rId61" ref="Q38"/>
    <hyperlink r:id="rId62" ref="R38"/>
    <hyperlink r:id="rId63" ref="AE38"/>
    <hyperlink r:id="rId64" ref="P39"/>
    <hyperlink r:id="rId65" ref="Q39"/>
    <hyperlink r:id="rId66" ref="R39"/>
    <hyperlink r:id="rId67" ref="AE39"/>
    <hyperlink r:id="rId68" ref="P40"/>
    <hyperlink r:id="rId69" ref="AE40"/>
    <hyperlink r:id="rId70" ref="AE41"/>
    <hyperlink r:id="rId71" ref="P42"/>
    <hyperlink r:id="rId72" ref="AI42"/>
    <hyperlink r:id="rId73" ref="P43"/>
    <hyperlink r:id="rId74" ref="Q43"/>
    <hyperlink r:id="rId75" ref="R43"/>
    <hyperlink r:id="rId76" ref="AE45"/>
    <hyperlink r:id="rId77" ref="P47"/>
    <hyperlink r:id="rId78" ref="AE47"/>
    <hyperlink r:id="rId79" ref="AV47"/>
    <hyperlink r:id="rId80" ref="AE48"/>
    <hyperlink r:id="rId81" ref="P50"/>
    <hyperlink r:id="rId82" ref="Q50"/>
    <hyperlink r:id="rId83" ref="R50"/>
    <hyperlink r:id="rId84" ref="AE50"/>
    <hyperlink r:id="rId85" ref="P51"/>
    <hyperlink r:id="rId86" ref="Q51"/>
    <hyperlink r:id="rId87" ref="R51"/>
    <hyperlink r:id="rId88" ref="AE51"/>
    <hyperlink r:id="rId89" ref="AE52"/>
    <hyperlink r:id="rId90" ref="AE54"/>
    <hyperlink r:id="rId91" ref="R55"/>
    <hyperlink r:id="rId92" ref="AE55"/>
    <hyperlink r:id="rId93" ref="Q56"/>
    <hyperlink r:id="rId94" ref="R56"/>
    <hyperlink r:id="rId95" ref="AE56"/>
    <hyperlink r:id="rId96" ref="AE58"/>
    <hyperlink r:id="rId97" ref="AE59"/>
    <hyperlink r:id="rId98" ref="AE61"/>
    <hyperlink r:id="rId99" ref="P62"/>
    <hyperlink r:id="rId100" ref="P63"/>
    <hyperlink r:id="rId101" ref="AE63"/>
    <hyperlink r:id="rId102" ref="P64"/>
    <hyperlink r:id="rId103" ref="AE64"/>
    <hyperlink r:id="rId104" ref="AE67"/>
    <hyperlink r:id="rId105" ref="P68"/>
    <hyperlink r:id="rId106" ref="AE69"/>
    <hyperlink r:id="rId107" ref="Q70"/>
    <hyperlink r:id="rId108" ref="AE70"/>
    <hyperlink r:id="rId109" ref="P71"/>
    <hyperlink r:id="rId110" ref="Q71"/>
    <hyperlink r:id="rId111" ref="R71"/>
    <hyperlink r:id="rId112" ref="P72"/>
    <hyperlink r:id="rId113" ref="Q72"/>
    <hyperlink r:id="rId114" ref="R72"/>
    <hyperlink r:id="rId115" ref="AE72"/>
    <hyperlink r:id="rId116" ref="AE73"/>
    <hyperlink r:id="rId117" ref="P74"/>
    <hyperlink r:id="rId118" ref="Q74"/>
    <hyperlink r:id="rId119" ref="AE74"/>
    <hyperlink r:id="rId120" ref="P75"/>
    <hyperlink r:id="rId121" ref="P76"/>
    <hyperlink r:id="rId122" ref="AE76"/>
    <hyperlink r:id="rId123" ref="P77"/>
    <hyperlink r:id="rId124" ref="AE77"/>
    <hyperlink r:id="rId125" ref="AE78"/>
    <hyperlink r:id="rId126" ref="P79"/>
    <hyperlink r:id="rId127" ref="Q79"/>
    <hyperlink r:id="rId128" ref="AE79"/>
    <hyperlink r:id="rId129" ref="P80"/>
    <hyperlink r:id="rId130" ref="Q80"/>
    <hyperlink r:id="rId131" ref="AE80"/>
    <hyperlink r:id="rId132" ref="P81"/>
    <hyperlink r:id="rId133" ref="AE81"/>
    <hyperlink r:id="rId134" ref="P82"/>
    <hyperlink r:id="rId135" ref="Q82"/>
    <hyperlink r:id="rId136" ref="R82"/>
    <hyperlink r:id="rId137" ref="AE82"/>
    <hyperlink r:id="rId138" ref="AE83"/>
    <hyperlink r:id="rId139" ref="P85"/>
    <hyperlink r:id="rId140" ref="Q85"/>
    <hyperlink r:id="rId141" ref="R85"/>
    <hyperlink r:id="rId142" ref="P87"/>
    <hyperlink r:id="rId143" ref="Q87"/>
    <hyperlink r:id="rId144" ref="R87"/>
    <hyperlink r:id="rId145" ref="AE87"/>
    <hyperlink r:id="rId146" ref="P89"/>
    <hyperlink r:id="rId147" ref="Q89"/>
    <hyperlink r:id="rId148" ref="AE89"/>
    <hyperlink r:id="rId149" ref="P91"/>
    <hyperlink r:id="rId150" ref="AE91"/>
    <hyperlink r:id="rId151" ref="AE93"/>
    <hyperlink r:id="rId152" ref="P94"/>
    <hyperlink r:id="rId153" ref="AE94"/>
    <hyperlink r:id="rId154" ref="Q95"/>
    <hyperlink r:id="rId155" ref="AE95"/>
    <hyperlink r:id="rId156" ref="Q97"/>
    <hyperlink r:id="rId157" ref="AE97"/>
    <hyperlink r:id="rId158" ref="P98"/>
    <hyperlink r:id="rId159" ref="Q98"/>
    <hyperlink r:id="rId160" ref="AE98"/>
    <hyperlink r:id="rId161" ref="AE99"/>
    <hyperlink r:id="rId162" ref="P100"/>
    <hyperlink r:id="rId163" ref="AE100"/>
    <hyperlink r:id="rId164" ref="P101"/>
    <hyperlink r:id="rId165" ref="Q101"/>
    <hyperlink r:id="rId166" ref="AE101"/>
    <hyperlink r:id="rId167" ref="P102"/>
    <hyperlink r:id="rId168" ref="AE102"/>
    <hyperlink r:id="rId169" ref="Q103"/>
    <hyperlink r:id="rId170" ref="Q104"/>
    <hyperlink r:id="rId171" ref="AE104"/>
    <hyperlink r:id="rId172" ref="Q105"/>
    <hyperlink r:id="rId173" ref="AE105"/>
    <hyperlink r:id="rId174" ref="Q106"/>
    <hyperlink r:id="rId175" ref="AE106"/>
    <hyperlink r:id="rId176" ref="P107"/>
    <hyperlink r:id="rId177" location="home" ref="AE107"/>
    <hyperlink r:id="rId178" ref="Q108"/>
    <hyperlink r:id="rId179" ref="R108"/>
    <hyperlink r:id="rId180" ref="AE108"/>
    <hyperlink r:id="rId181" ref="AE110"/>
    <hyperlink r:id="rId182" ref="P111"/>
    <hyperlink r:id="rId183" ref="AE111"/>
    <hyperlink r:id="rId184" ref="AE112"/>
    <hyperlink r:id="rId185" ref="P114"/>
    <hyperlink r:id="rId186" ref="AE114"/>
    <hyperlink r:id="rId187" ref="AE115"/>
    <hyperlink r:id="rId188" ref="AE118"/>
    <hyperlink r:id="rId189" ref="AE119"/>
    <hyperlink r:id="rId190" ref="P120"/>
    <hyperlink r:id="rId191" ref="AE120"/>
    <hyperlink r:id="rId192" ref="P121"/>
    <hyperlink r:id="rId193" ref="AE121"/>
    <hyperlink r:id="rId194" ref="AE123"/>
    <hyperlink r:id="rId195" ref="R125"/>
    <hyperlink r:id="rId196" ref="AE125"/>
    <hyperlink r:id="rId197" ref="AE126"/>
    <hyperlink r:id="rId198" ref="AV126"/>
    <hyperlink r:id="rId199" ref="P129"/>
    <hyperlink r:id="rId200" ref="Q129"/>
    <hyperlink r:id="rId201" ref="AE130"/>
    <hyperlink r:id="rId202" ref="P131"/>
    <hyperlink r:id="rId203" ref="AE131"/>
    <hyperlink r:id="rId204" ref="AE132"/>
    <hyperlink r:id="rId205" ref="Q133"/>
    <hyperlink r:id="rId206" ref="R133"/>
    <hyperlink r:id="rId207" ref="AE133"/>
    <hyperlink r:id="rId208" ref="P134"/>
    <hyperlink r:id="rId209" ref="AE134"/>
    <hyperlink r:id="rId210" ref="P135"/>
    <hyperlink r:id="rId211" ref="R135"/>
    <hyperlink r:id="rId212" ref="R136"/>
    <hyperlink r:id="rId213" ref="AE136"/>
    <hyperlink r:id="rId214" ref="P137"/>
    <hyperlink r:id="rId215" ref="Q137"/>
    <hyperlink r:id="rId216" ref="R137"/>
    <hyperlink r:id="rId217" ref="AE137"/>
    <hyperlink r:id="rId218" ref="AE138"/>
    <hyperlink r:id="rId219" ref="AE139"/>
    <hyperlink r:id="rId220" ref="P140"/>
    <hyperlink r:id="rId221" ref="Q140"/>
    <hyperlink r:id="rId222" ref="AE140"/>
    <hyperlink r:id="rId223" ref="AE141"/>
    <hyperlink r:id="rId224" ref="R142"/>
    <hyperlink r:id="rId225" ref="AE142"/>
    <hyperlink r:id="rId226" ref="P143"/>
    <hyperlink r:id="rId227" ref="AE143"/>
    <hyperlink r:id="rId228" ref="P144"/>
    <hyperlink r:id="rId229" ref="Q144"/>
    <hyperlink r:id="rId230" ref="R144"/>
    <hyperlink r:id="rId231" ref="AE144"/>
    <hyperlink r:id="rId232" ref="AE145"/>
    <hyperlink r:id="rId233" ref="P147"/>
    <hyperlink r:id="rId234" ref="R147"/>
    <hyperlink r:id="rId235" ref="AE147"/>
    <hyperlink r:id="rId236" ref="P148"/>
    <hyperlink r:id="rId237" ref="AE149"/>
    <hyperlink r:id="rId238" ref="P150"/>
    <hyperlink r:id="rId239" ref="P152"/>
    <hyperlink r:id="rId240" ref="AE152"/>
    <hyperlink r:id="rId241" ref="R153"/>
    <hyperlink r:id="rId242" ref="AE153"/>
    <hyperlink r:id="rId243" ref="P154"/>
    <hyperlink r:id="rId244" ref="P155"/>
    <hyperlink r:id="rId245" ref="AE155"/>
    <hyperlink r:id="rId246" ref="Q156"/>
    <hyperlink r:id="rId247" ref="R156"/>
    <hyperlink r:id="rId248" ref="AE156"/>
    <hyperlink r:id="rId249" ref="P157"/>
    <hyperlink r:id="rId250" ref="Q157"/>
    <hyperlink r:id="rId251" ref="AE157"/>
    <hyperlink r:id="rId252" ref="P159"/>
    <hyperlink r:id="rId253" ref="AE159"/>
    <hyperlink r:id="rId254" ref="AE161"/>
    <hyperlink r:id="rId255" ref="P162"/>
    <hyperlink r:id="rId256" ref="P164"/>
    <hyperlink r:id="rId257" ref="Q164"/>
    <hyperlink r:id="rId258" ref="R164"/>
    <hyperlink r:id="rId259" ref="AE164"/>
  </hyperlinks>
  <printOptions/>
  <pageMargins bottom="1.0" footer="0.0" header="0.0" left="0.75" right="0.75" top="1.0"/>
  <pageSetup orientation="landscape"/>
  <drawing r:id="rId260"/>
</worksheet>
</file>