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Nord_H2ub\Spine_Projects\03_output_data\03_runs_paper_energy_2024\03_results_comparison\"/>
    </mc:Choice>
  </mc:AlternateContent>
  <xr:revisionPtr revIDLastSave="0" documentId="13_ncr:1_{56E256C5-E522-4E8F-9BF5-B5462AE2B8D3}" xr6:coauthVersionLast="47" xr6:coauthVersionMax="47" xr10:uidLastSave="{00000000-0000-0000-0000-000000000000}"/>
  <bookViews>
    <workbookView xWindow="-108" yWindow="-108" windowWidth="23256" windowHeight="13896" xr2:uid="{0A822A3D-32EB-4D0D-98BA-11227E505B6A}"/>
  </bookViews>
  <sheets>
    <sheet name="LCOM_composition" sheetId="2" r:id="rId1"/>
    <sheet name="Calcu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15" i="1"/>
  <c r="Q17" i="1"/>
  <c r="F14" i="1"/>
  <c r="D5" i="1"/>
  <c r="C5" i="1"/>
  <c r="D8" i="1"/>
  <c r="C8" i="1"/>
  <c r="Q16" i="1"/>
  <c r="Q5" i="1"/>
  <c r="B16" i="2"/>
  <c r="M20" i="1"/>
  <c r="P21" i="1"/>
  <c r="Q12" i="1"/>
  <c r="P12" i="1"/>
  <c r="O20" i="1"/>
  <c r="P20" i="1"/>
  <c r="O19" i="1"/>
  <c r="P19" i="1"/>
  <c r="P23" i="1" s="1"/>
  <c r="O23" i="1"/>
  <c r="O21" i="1"/>
  <c r="O22" i="1"/>
  <c r="P22" i="1" s="1"/>
  <c r="E13" i="1"/>
  <c r="X8" i="1"/>
  <c r="V4" i="1"/>
  <c r="X4" i="1" s="1"/>
  <c r="B6" i="1" s="1"/>
  <c r="C4" i="1"/>
  <c r="B9" i="2" s="1"/>
  <c r="C7" i="1"/>
  <c r="B11" i="2" s="1"/>
  <c r="B9" i="1" l="1"/>
  <c r="F29" i="1"/>
  <c r="C6" i="1"/>
  <c r="B10" i="2" s="1"/>
  <c r="N2" i="1"/>
  <c r="B2" i="2" s="1"/>
  <c r="C2" i="1"/>
  <c r="B15" i="2" s="1"/>
  <c r="D3" i="1"/>
  <c r="C8" i="2" s="1"/>
  <c r="C3" i="1"/>
  <c r="B8" i="2" s="1"/>
  <c r="O2" i="1"/>
  <c r="C2" i="2" s="1"/>
  <c r="O3" i="1"/>
  <c r="C3" i="2" s="1"/>
  <c r="O4" i="1"/>
  <c r="O5" i="1"/>
  <c r="C4" i="2" s="1"/>
  <c r="O6" i="1"/>
  <c r="O7" i="1"/>
  <c r="O8" i="1"/>
  <c r="N3" i="1"/>
  <c r="B3" i="2" s="1"/>
  <c r="N4" i="1"/>
  <c r="B5" i="2" s="1"/>
  <c r="N5" i="1"/>
  <c r="B4" i="2" s="1"/>
  <c r="N6" i="1"/>
  <c r="N7" i="1"/>
  <c r="N8" i="1"/>
  <c r="H2" i="1"/>
  <c r="F30" i="1" l="1"/>
  <c r="G30" i="1"/>
  <c r="C5" i="2"/>
  <c r="D7" i="1"/>
  <c r="C11" i="2" s="1"/>
  <c r="C16" i="2"/>
  <c r="D6" i="1"/>
  <c r="C10" i="2" s="1"/>
  <c r="D4" i="1"/>
  <c r="C9" i="2" s="1"/>
  <c r="D2" i="1"/>
  <c r="C15" i="2" s="1"/>
  <c r="D9" i="1"/>
  <c r="C9" i="1"/>
  <c r="B12" i="2" s="1"/>
  <c r="B19" i="2" s="1"/>
  <c r="B20" i="2" s="1"/>
  <c r="C12" i="2" l="1"/>
  <c r="C19" i="2" s="1"/>
  <c r="C20" i="2" s="1"/>
  <c r="B13" i="1"/>
  <c r="B14" i="1"/>
  <c r="Q21" i="1"/>
</calcChain>
</file>

<file path=xl/sharedStrings.xml><?xml version="1.0" encoding="utf-8"?>
<sst xmlns="http://schemas.openxmlformats.org/spreadsheetml/2006/main" count="71" uniqueCount="51">
  <si>
    <t>Component</t>
  </si>
  <si>
    <t>€</t>
  </si>
  <si>
    <t>solar_plant</t>
  </si>
  <si>
    <t>electrolyzer</t>
  </si>
  <si>
    <t>co2_vaporizer</t>
  </si>
  <si>
    <t>dist_tower</t>
  </si>
  <si>
    <t>ch3oh_reactor</t>
  </si>
  <si>
    <t>steam_plant</t>
  </si>
  <si>
    <t>PV_Revenue</t>
  </si>
  <si>
    <t>ch3oh_st</t>
  </si>
  <si>
    <t>Energy ouput</t>
  </si>
  <si>
    <t>Methanol</t>
  </si>
  <si>
    <t>MWh</t>
  </si>
  <si>
    <t>pfc value</t>
  </si>
  <si>
    <t>LCOM [€/MWh]</t>
  </si>
  <si>
    <t>t</t>
  </si>
  <si>
    <t>LCOM [€/t]</t>
  </si>
  <si>
    <t>power_cost</t>
  </si>
  <si>
    <t>revenue_heat</t>
  </si>
  <si>
    <t>water_cost</t>
  </si>
  <si>
    <t>co2_cost</t>
  </si>
  <si>
    <t>fom_cost</t>
  </si>
  <si>
    <t>grid_cost</t>
  </si>
  <si>
    <t>liter water</t>
  </si>
  <si>
    <t>cost water per liter</t>
  </si>
  <si>
    <t>cost</t>
  </si>
  <si>
    <t>cost co2</t>
  </si>
  <si>
    <t>t co2</t>
  </si>
  <si>
    <t>LCOM</t>
  </si>
  <si>
    <t>LCOM with PV Revenue</t>
  </si>
  <si>
    <t>Investment units</t>
  </si>
  <si>
    <t>PV Plant</t>
  </si>
  <si>
    <t>Electrolyzer</t>
  </si>
  <si>
    <t>Methnol Plant</t>
  </si>
  <si>
    <t>Auxiliary units</t>
  </si>
  <si>
    <t>Operational Cost</t>
  </si>
  <si>
    <t>Power Cost</t>
  </si>
  <si>
    <t>Grid Fees</t>
  </si>
  <si>
    <t>Water Cost</t>
  </si>
  <si>
    <t>CO2 Cost</t>
  </si>
  <si>
    <t>FOM Cost</t>
  </si>
  <si>
    <t>Operational Revenue</t>
  </si>
  <si>
    <t>Heat Sales</t>
  </si>
  <si>
    <t>PV Power Sales</t>
  </si>
  <si>
    <t>LCOM without PV</t>
  </si>
  <si>
    <t>LCOM with PV</t>
  </si>
  <si>
    <t>unit</t>
  </si>
  <si>
    <t>fom PV</t>
  </si>
  <si>
    <t>fom rest after variable cost</t>
  </si>
  <si>
    <t>storage</t>
  </si>
  <si>
    <t>funits_on 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</si>
</sst>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7A3C-5482-456A-A386-F1EE27A7A6D1}">
  <dimension ref="A1:C20"/>
  <sheetViews>
    <sheetView tabSelected="1" workbookViewId="0">
      <selection activeCell="G20" sqref="G20"/>
    </sheetView>
  </sheetViews>
  <sheetFormatPr defaultRowHeight="14.4"/>
  <cols>
    <col min="1" max="1" width="18.33203125" customWidth="1"/>
    <col min="2" max="2" width="10.109375" bestFit="1" customWidth="1"/>
  </cols>
  <sheetData>
    <row r="1" spans="1:3">
      <c r="A1" s="4" t="s">
        <v>30</v>
      </c>
      <c r="B1" s="4" t="s">
        <v>14</v>
      </c>
      <c r="C1" s="4" t="s">
        <v>16</v>
      </c>
    </row>
    <row r="2" spans="1:3">
      <c r="A2" t="s">
        <v>31</v>
      </c>
      <c r="B2" s="3">
        <f>Calculation!N2</f>
        <v>98.02377246615039</v>
      </c>
      <c r="C2" s="3">
        <f>Calculation!O2</f>
        <v>541.85363113233132</v>
      </c>
    </row>
    <row r="3" spans="1:3">
      <c r="A3" t="s">
        <v>32</v>
      </c>
      <c r="B3" s="3">
        <f>Calculation!N3</f>
        <v>47.105523062574839</v>
      </c>
      <c r="C3" s="3">
        <f>Calculation!O3</f>
        <v>260.38886359589975</v>
      </c>
    </row>
    <row r="4" spans="1:3">
      <c r="A4" t="s">
        <v>33</v>
      </c>
      <c r="B4" s="3">
        <f>Calculation!N5</f>
        <v>18.955724769418591</v>
      </c>
      <c r="C4" s="3">
        <f>Calculation!O5</f>
        <v>104.78303414206387</v>
      </c>
    </row>
    <row r="5" spans="1:3">
      <c r="A5" t="s">
        <v>34</v>
      </c>
      <c r="B5" s="3">
        <f>Calculation!N4+Calculation!N7+Calculation!N8</f>
        <v>2.1224255115586392</v>
      </c>
      <c r="C5" s="3">
        <f>Calculation!O4+Calculation!O7+Calculation!O8</f>
        <v>11.732296577782478</v>
      </c>
    </row>
    <row r="7" spans="1:3">
      <c r="A7" s="4" t="s">
        <v>35</v>
      </c>
      <c r="B7" s="4" t="s">
        <v>14</v>
      </c>
      <c r="C7" s="4" t="s">
        <v>16</v>
      </c>
    </row>
    <row r="8" spans="1:3">
      <c r="A8" t="s">
        <v>36</v>
      </c>
      <c r="B8" s="3">
        <f>Calculation!C3</f>
        <v>37.509953305926445</v>
      </c>
      <c r="C8" s="3">
        <f>Calculation!D3</f>
        <v>207.34668632998228</v>
      </c>
    </row>
    <row r="9" spans="1:3">
      <c r="A9" t="s">
        <v>37</v>
      </c>
      <c r="B9" s="3">
        <f>Calculation!C4</f>
        <v>12.821049504057514</v>
      </c>
      <c r="C9" s="3">
        <f>Calculation!D4</f>
        <v>70.871912536317922</v>
      </c>
    </row>
    <row r="10" spans="1:3">
      <c r="A10" t="s">
        <v>38</v>
      </c>
      <c r="B10" s="3">
        <f>Calculation!C6</f>
        <v>0.59784438075713109</v>
      </c>
      <c r="C10" s="3">
        <f>Calculation!D6</f>
        <v>3.3047508825185852</v>
      </c>
    </row>
    <row r="11" spans="1:3">
      <c r="A11" t="s">
        <v>39</v>
      </c>
      <c r="B11" s="3">
        <f>Calculation!C7</f>
        <v>6.8274326357361232</v>
      </c>
      <c r="C11" s="3">
        <f>Calculation!D7</f>
        <v>37.740530403096898</v>
      </c>
    </row>
    <row r="12" spans="1:3">
      <c r="A12" t="s">
        <v>40</v>
      </c>
      <c r="B12" s="3">
        <f>Calculation!C9</f>
        <v>42.315121512372421</v>
      </c>
      <c r="C12" s="3">
        <f>Calculation!D9</f>
        <v>233.90858836005864</v>
      </c>
    </row>
    <row r="14" spans="1:3">
      <c r="A14" s="4" t="s">
        <v>41</v>
      </c>
      <c r="B14" s="4" t="s">
        <v>14</v>
      </c>
      <c r="C14" s="4" t="s">
        <v>16</v>
      </c>
    </row>
    <row r="15" spans="1:3">
      <c r="A15" t="s">
        <v>42</v>
      </c>
      <c r="B15" s="3">
        <f>Calculation!C2</f>
        <v>-52.309579961412652</v>
      </c>
      <c r="C15" s="3">
        <f>Calculation!D2</f>
        <v>-289.15573367558659</v>
      </c>
    </row>
    <row r="16" spans="1:3">
      <c r="A16" t="s">
        <v>43</v>
      </c>
      <c r="B16" s="3">
        <f>Calculation!C5</f>
        <v>-19.344559304624418</v>
      </c>
      <c r="C16" s="3">
        <f>Calculation!D5</f>
        <v>-106.93242504500719</v>
      </c>
    </row>
    <row r="19" spans="1:3">
      <c r="A19" t="s">
        <v>44</v>
      </c>
      <c r="B19" s="3">
        <f>SUM(B2:B5)+SUM(B8:B12)+B16</f>
        <v>246.93428784392771</v>
      </c>
      <c r="C19" s="3">
        <f>SUM(C2:C5)+SUM(C8:C12)+C16</f>
        <v>1364.9978689150446</v>
      </c>
    </row>
    <row r="20" spans="1:3">
      <c r="A20" t="s">
        <v>45</v>
      </c>
      <c r="B20" s="3">
        <f>B19+B15</f>
        <v>194.62470788251505</v>
      </c>
      <c r="C20" s="3">
        <f>C19+C15</f>
        <v>1075.842135239458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2BA-051B-4275-B93D-9F3E1E387BEF}">
  <dimension ref="A1:X30"/>
  <sheetViews>
    <sheetView workbookViewId="0">
      <selection activeCell="D16" sqref="D16"/>
    </sheetView>
  </sheetViews>
  <sheetFormatPr defaultRowHeight="14.4"/>
  <cols>
    <col min="1" max="1" width="19.33203125" customWidth="1"/>
    <col min="2" max="2" width="18.21875" customWidth="1"/>
    <col min="3" max="3" width="12.6640625" bestFit="1" customWidth="1"/>
    <col min="4" max="5" width="12.6640625" customWidth="1"/>
    <col min="6" max="6" width="12.5546875" customWidth="1"/>
    <col min="7" max="7" width="11.88671875" customWidth="1"/>
    <col min="12" max="12" width="15.33203125" customWidth="1"/>
    <col min="13" max="14" width="14" customWidth="1"/>
    <col min="16" max="16" width="12" customWidth="1"/>
    <col min="17" max="17" width="13.5546875" customWidth="1"/>
    <col min="22" max="22" width="13.88671875" customWidth="1"/>
  </cols>
  <sheetData>
    <row r="1" spans="1:24">
      <c r="A1" t="s">
        <v>0</v>
      </c>
      <c r="B1" t="s">
        <v>1</v>
      </c>
      <c r="C1" t="s">
        <v>14</v>
      </c>
      <c r="D1" t="s">
        <v>16</v>
      </c>
      <c r="F1" t="s">
        <v>10</v>
      </c>
      <c r="G1" t="s">
        <v>12</v>
      </c>
      <c r="H1" t="s">
        <v>15</v>
      </c>
      <c r="L1" t="s">
        <v>0</v>
      </c>
      <c r="M1" t="s">
        <v>1</v>
      </c>
      <c r="N1" t="s">
        <v>14</v>
      </c>
      <c r="O1" t="s">
        <v>16</v>
      </c>
      <c r="V1" t="s">
        <v>23</v>
      </c>
      <c r="W1" t="s">
        <v>24</v>
      </c>
      <c r="X1" t="s">
        <v>25</v>
      </c>
    </row>
    <row r="2" spans="1:24">
      <c r="A2" t="s">
        <v>8</v>
      </c>
      <c r="B2" s="2">
        <v>-9252985.5235045142</v>
      </c>
      <c r="C2" s="2">
        <f>(B2*$G$4)/($G$2*$G$4)</f>
        <v>-52.309579961412652</v>
      </c>
      <c r="D2" s="2">
        <f>(B2*$G$4)/($H$2*$G$4)</f>
        <v>-289.15573367558659</v>
      </c>
      <c r="F2" t="s">
        <v>11</v>
      </c>
      <c r="G2" s="2">
        <v>176888.927999999</v>
      </c>
      <c r="H2">
        <f>G2* (3.6) / 19.9</f>
        <v>32000.007075376707</v>
      </c>
      <c r="L2" t="s">
        <v>2</v>
      </c>
      <c r="M2" s="2">
        <v>170240000</v>
      </c>
      <c r="N2" s="2">
        <f t="shared" ref="N2:N8" si="0">M2/($G$2*$G$4)</f>
        <v>98.02377246615039</v>
      </c>
      <c r="O2" s="2">
        <f t="shared" ref="O2:O8" si="1">M2/($H$2*$G$4)</f>
        <v>541.85363113233132</v>
      </c>
      <c r="V2">
        <v>53440252.431568697</v>
      </c>
    </row>
    <row r="3" spans="1:24">
      <c r="A3" t="s">
        <v>17</v>
      </c>
      <c r="B3" s="2">
        <v>6635095.4296153476</v>
      </c>
      <c r="C3" s="2">
        <f>(B3*$G$4)/($G$2*$G$4)</f>
        <v>37.509953305926445</v>
      </c>
      <c r="D3" s="2">
        <f>(B3*$G$4)/($H$2*$G$4)</f>
        <v>207.34668632998228</v>
      </c>
      <c r="G3" s="1"/>
      <c r="L3" t="s">
        <v>3</v>
      </c>
      <c r="M3" s="2">
        <v>81809177.961825013</v>
      </c>
      <c r="N3" s="2">
        <f t="shared" si="0"/>
        <v>47.105523062574839</v>
      </c>
      <c r="O3" s="2">
        <f t="shared" si="1"/>
        <v>260.38886359589975</v>
      </c>
      <c r="V3" s="2">
        <v>17696835.495142099</v>
      </c>
    </row>
    <row r="4" spans="1:24">
      <c r="A4" t="s">
        <v>22</v>
      </c>
      <c r="B4" s="2">
        <v>2267901.7026076526</v>
      </c>
      <c r="C4" s="2">
        <f t="shared" ref="C4:C7" si="2">(B4*$G$4)/($G$2*$G$4)</f>
        <v>12.821049504057514</v>
      </c>
      <c r="D4" s="2">
        <f t="shared" ref="D4:D8" si="3">(B4*$G$4)/($H$2*$G$4)</f>
        <v>70.871912536317922</v>
      </c>
      <c r="E4" s="3"/>
      <c r="F4" t="s">
        <v>13</v>
      </c>
      <c r="G4" s="2">
        <v>9.81814740744929</v>
      </c>
      <c r="L4" t="s">
        <v>4</v>
      </c>
      <c r="M4" s="2">
        <v>3088049.7494749725</v>
      </c>
      <c r="N4" s="2">
        <f t="shared" si="0"/>
        <v>1.7780914356595832</v>
      </c>
      <c r="O4" s="2">
        <f t="shared" si="1"/>
        <v>9.8288943248960283</v>
      </c>
      <c r="V4" s="2">
        <f>SUM(V2:V3)</f>
        <v>71137087.926710799</v>
      </c>
      <c r="W4">
        <v>1.4865951742627349E-3</v>
      </c>
      <c r="X4">
        <f>W4*V4</f>
        <v>105752.05162295215</v>
      </c>
    </row>
    <row r="5" spans="1:24">
      <c r="A5" t="s">
        <v>18</v>
      </c>
      <c r="B5" s="2">
        <v>-3421838.35802742</v>
      </c>
      <c r="C5" s="2">
        <f>(B5*$G$4)/($G$2*$G$4)</f>
        <v>-19.344559304624418</v>
      </c>
      <c r="D5" s="2">
        <f>(B5*$G$4)/($H$2*$G$4)</f>
        <v>-106.93242504500719</v>
      </c>
      <c r="E5" s="3"/>
      <c r="L5" t="s">
        <v>5</v>
      </c>
      <c r="M5" s="2">
        <v>32920816.079183012</v>
      </c>
      <c r="N5" s="2">
        <f t="shared" si="0"/>
        <v>18.955724769418591</v>
      </c>
      <c r="O5" s="2">
        <f t="shared" si="1"/>
        <v>104.78303414206387</v>
      </c>
      <c r="Q5" s="2">
        <f>SUM(M2:M8)*0.03</f>
        <v>8659683.246219933</v>
      </c>
    </row>
    <row r="6" spans="1:24">
      <c r="A6" t="s">
        <v>19</v>
      </c>
      <c r="B6" s="2">
        <f>X4</f>
        <v>105752.05162295215</v>
      </c>
      <c r="C6" s="2">
        <f t="shared" si="2"/>
        <v>0.59784438075713109</v>
      </c>
      <c r="D6" s="2">
        <f t="shared" si="3"/>
        <v>3.3047508825185852</v>
      </c>
      <c r="E6" s="3"/>
      <c r="H6" s="1"/>
      <c r="L6" t="s">
        <v>6</v>
      </c>
      <c r="M6" s="2">
        <v>52</v>
      </c>
      <c r="N6" s="2">
        <f t="shared" si="0"/>
        <v>2.9941471852912479E-5</v>
      </c>
      <c r="O6" s="2">
        <f t="shared" si="1"/>
        <v>1.6550980274248841E-4</v>
      </c>
    </row>
    <row r="7" spans="1:24">
      <c r="A7" t="s">
        <v>20</v>
      </c>
      <c r="B7" s="2">
        <v>1207697.2399275706</v>
      </c>
      <c r="C7" s="2">
        <f t="shared" si="2"/>
        <v>6.8274326357361232</v>
      </c>
      <c r="D7" s="2">
        <f t="shared" si="3"/>
        <v>37.740530403096898</v>
      </c>
      <c r="E7" s="3"/>
      <c r="L7" t="s">
        <v>7</v>
      </c>
      <c r="M7" s="2">
        <v>263636.26426398754</v>
      </c>
      <c r="N7" s="2">
        <f t="shared" si="0"/>
        <v>0.15180111126667653</v>
      </c>
      <c r="O7" s="2">
        <f t="shared" si="1"/>
        <v>0.83912280950190621</v>
      </c>
      <c r="V7" t="s">
        <v>27</v>
      </c>
      <c r="W7" t="s">
        <v>26</v>
      </c>
    </row>
    <row r="8" spans="1:24">
      <c r="A8" t="s">
        <v>50</v>
      </c>
      <c r="B8" s="2">
        <v>329888.299992999</v>
      </c>
      <c r="C8" s="2">
        <f>(B8*$G$4)/($G$2*$G$4)</f>
        <v>1.8649460072085511</v>
      </c>
      <c r="D8" s="2">
        <f t="shared" si="3"/>
        <v>10.309007095402823</v>
      </c>
      <c r="E8" s="3"/>
      <c r="L8" t="s">
        <v>9</v>
      </c>
      <c r="M8" s="2">
        <v>334376.152584158</v>
      </c>
      <c r="N8" s="2">
        <f t="shared" si="0"/>
        <v>0.19253296463237954</v>
      </c>
      <c r="O8" s="2">
        <f t="shared" si="1"/>
        <v>1.0642794433845422</v>
      </c>
      <c r="V8">
        <v>45046.521444519603</v>
      </c>
      <c r="W8">
        <v>26.81</v>
      </c>
      <c r="X8">
        <f>W8*V8</f>
        <v>1207697.2399275706</v>
      </c>
    </row>
    <row r="9" spans="1:24">
      <c r="A9" t="s">
        <v>21</v>
      </c>
      <c r="B9" s="2">
        <f>E13+SUM(Q14:Q17)</f>
        <v>7485076.4825132545</v>
      </c>
      <c r="C9" s="2">
        <f>(B9*$G$4)/($G$2*$G$4)</f>
        <v>42.315121512372421</v>
      </c>
      <c r="D9" s="2">
        <f>(B9*$G$4)/($H$2*$G$4)</f>
        <v>233.90858836005864</v>
      </c>
    </row>
    <row r="10" spans="1:24">
      <c r="B10" s="2"/>
    </row>
    <row r="11" spans="1:24">
      <c r="G11" s="1"/>
      <c r="P11">
        <v>38000</v>
      </c>
      <c r="Q11">
        <v>39000</v>
      </c>
    </row>
    <row r="12" spans="1:24">
      <c r="E12" t="s">
        <v>47</v>
      </c>
      <c r="F12" t="s">
        <v>48</v>
      </c>
      <c r="P12">
        <f>P11/8760</f>
        <v>4.3378995433789953</v>
      </c>
      <c r="Q12">
        <f>Q11/8760</f>
        <v>4.4520547945205475</v>
      </c>
    </row>
    <row r="13" spans="1:24">
      <c r="A13" t="s">
        <v>28</v>
      </c>
      <c r="B13" s="3">
        <f>SUM(D3:D9)+SUM(O2:O8)</f>
        <v>1375.3070415202501</v>
      </c>
      <c r="E13">
        <f>304*11300</f>
        <v>3435200</v>
      </c>
      <c r="F13" s="2">
        <v>1462147.8309085499</v>
      </c>
    </row>
    <row r="14" spans="1:24">
      <c r="A14" t="s">
        <v>29</v>
      </c>
      <c r="B14" s="3">
        <f>SUM(D2:D9)+SUM(O2:O8)</f>
        <v>1086.1513078446635</v>
      </c>
      <c r="F14" s="3">
        <f>F13-SUM(B2:B8)</f>
        <v>3590636.9886739617</v>
      </c>
      <c r="L14" t="s">
        <v>49</v>
      </c>
      <c r="M14" t="s">
        <v>49</v>
      </c>
      <c r="N14" t="s">
        <v>21</v>
      </c>
      <c r="O14">
        <v>1.0958904109589039E-2</v>
      </c>
      <c r="Q14" s="2">
        <f>O14*8760*1000*L19*4</f>
        <v>383999.99999999994</v>
      </c>
    </row>
    <row r="15" spans="1:24">
      <c r="L15" t="s">
        <v>3</v>
      </c>
      <c r="M15" t="s">
        <v>46</v>
      </c>
      <c r="N15" t="s">
        <v>21</v>
      </c>
      <c r="O15">
        <v>4.34</v>
      </c>
      <c r="Q15" s="2">
        <f>O15*8760*52*L20</f>
        <v>1636975.8165388766</v>
      </c>
    </row>
    <row r="16" spans="1:24">
      <c r="L16" t="s">
        <v>6</v>
      </c>
      <c r="M16" t="s">
        <v>46</v>
      </c>
      <c r="N16" t="s">
        <v>21</v>
      </c>
      <c r="O16">
        <v>4.45</v>
      </c>
      <c r="Q16" s="2">
        <f>O16*8760*52</f>
        <v>2027064</v>
      </c>
    </row>
    <row r="17" spans="2:17">
      <c r="L17" t="s">
        <v>7</v>
      </c>
      <c r="M17" t="s">
        <v>46</v>
      </c>
      <c r="N17" t="s">
        <v>21</v>
      </c>
      <c r="O17">
        <v>0.1192922374429224</v>
      </c>
      <c r="Q17" s="2">
        <f>O17*8760*100*L22</f>
        <v>1836.6659743774524</v>
      </c>
    </row>
    <row r="19" spans="2:17">
      <c r="L19">
        <v>1</v>
      </c>
      <c r="O19">
        <f>O14*1000</f>
        <v>10.958904109589039</v>
      </c>
      <c r="P19">
        <f>O19*174</f>
        <v>1906.8493150684928</v>
      </c>
    </row>
    <row r="20" spans="2:17">
      <c r="L20">
        <v>0.82802811702252499</v>
      </c>
      <c r="M20">
        <f>L20*52</f>
        <v>43.057462085171302</v>
      </c>
      <c r="O20" s="2">
        <f>L20*52*O15</f>
        <v>186.86938544964343</v>
      </c>
      <c r="P20" s="2">
        <f>O20*6012.5</f>
        <v>1123552.1800159812</v>
      </c>
    </row>
    <row r="21" spans="2:17">
      <c r="B21" s="3"/>
      <c r="L21" s="1">
        <v>0.468957494005449</v>
      </c>
      <c r="O21" s="2">
        <f>L21*52*O16</f>
        <v>108.51676411286091</v>
      </c>
      <c r="P21" s="2">
        <f>O21*866.9</f>
        <v>94073.182809439124</v>
      </c>
      <c r="Q21" s="3">
        <f>F14-P23</f>
        <v>2371077.9394050804</v>
      </c>
    </row>
    <row r="22" spans="2:17">
      <c r="L22" s="1">
        <v>1.75757509509804E-2</v>
      </c>
      <c r="O22" s="2">
        <f>L22*100*O17</f>
        <v>0.2096650655682023</v>
      </c>
      <c r="P22" s="2">
        <f>O22*128</f>
        <v>26.837128392729895</v>
      </c>
    </row>
    <row r="23" spans="2:17">
      <c r="O23" s="2">
        <f>SUM(O19:O22)</f>
        <v>306.55471873766157</v>
      </c>
      <c r="P23" s="2">
        <f>SUM(P19:P22)</f>
        <v>1219559.0492688813</v>
      </c>
    </row>
    <row r="28" spans="2:17">
      <c r="F28">
        <v>4618681.2796730399</v>
      </c>
    </row>
    <row r="29" spans="2:17">
      <c r="F29" s="3">
        <f>F28-SUM(B2:B7)</f>
        <v>7077058.7374314507</v>
      </c>
    </row>
    <row r="30" spans="2:17">
      <c r="F30" s="3">
        <f>B9-F29</f>
        <v>408017.74508180376</v>
      </c>
      <c r="G30" s="3">
        <f>F14-SUM(Q14:Q17)</f>
        <v>-459239.49383929279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LCOM_composition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2025-04-08T13:16:05Z</dcterms:created>
  <dcterms:modified xsi:type="dcterms:W3CDTF">2025-04-10T06:59:06Z</dcterms:modified>
</cp:coreProperties>
</file>